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7770" activeTab="1"/>
  </bookViews>
  <sheets>
    <sheet name="BS93" sheetId="1" r:id="rId1"/>
    <sheet name="BS94" sheetId="2" r:id="rId2"/>
    <sheet name="BS95" sheetId="3" r:id="rId3"/>
  </sheets>
  <definedNames>
    <definedName name="_xlnm.Print_Titles" localSheetId="0">'BS93'!$8:$8</definedName>
    <definedName name="_xlnm.Print_Titles" localSheetId="1">'BS94'!$8:$8</definedName>
    <definedName name="_xlnm.Print_Titles" localSheetId="2">'BS95'!$8:$8</definedName>
  </definedNames>
  <calcPr fullCalcOnLoad="1"/>
</workbook>
</file>

<file path=xl/sharedStrings.xml><?xml version="1.0" encoding="utf-8"?>
<sst xmlns="http://schemas.openxmlformats.org/spreadsheetml/2006/main" count="144" uniqueCount="83">
  <si>
    <t>STT</t>
  </si>
  <si>
    <t>I</t>
  </si>
  <si>
    <t>II</t>
  </si>
  <si>
    <t>III</t>
  </si>
  <si>
    <t>Chi đầu tư phát triển</t>
  </si>
  <si>
    <t>Chi thường xuyên</t>
  </si>
  <si>
    <t>Dự phòng</t>
  </si>
  <si>
    <t>A</t>
  </si>
  <si>
    <t>B</t>
  </si>
  <si>
    <t>Thu nội địa</t>
  </si>
  <si>
    <t>Thuế sử dụng đất nông nghiệp</t>
  </si>
  <si>
    <t>Các khoản thu về nhà, đất</t>
  </si>
  <si>
    <t>Thu khác ngân sách</t>
  </si>
  <si>
    <t>TỔNG CHI NGÂN SÁCH QUẬN</t>
  </si>
  <si>
    <t>Tổng chi cân đối ngân sách quận</t>
  </si>
  <si>
    <t>Chi giáo dục, đào tạo và dạy nghề</t>
  </si>
  <si>
    <t>Chi khoa học công nghệ</t>
  </si>
  <si>
    <t>Chi sự nghiệp kinh tế</t>
  </si>
  <si>
    <t>Dự toán</t>
  </si>
  <si>
    <t>Thu từ hoạt động xổ số kiến thiết</t>
  </si>
  <si>
    <t>Thuế thu nhập cá nhân</t>
  </si>
  <si>
    <t>Thuế sử dụng đất phi nông nghiệp</t>
  </si>
  <si>
    <t>Thuế bảo vệ môi trường</t>
  </si>
  <si>
    <t>Chi sự nghiệp bảo vệ môi trường</t>
  </si>
  <si>
    <t>1</t>
  </si>
  <si>
    <t>2</t>
  </si>
  <si>
    <t>4</t>
  </si>
  <si>
    <t>ĐV: Triệu đồng</t>
  </si>
  <si>
    <t>Thu chuyển nguồn từ năm trước chuyển sang</t>
  </si>
  <si>
    <t>Ngân sách quận bao gồm ngân sách cấp quận và ngân sách phường, không tính ghi thu ghi chi.</t>
  </si>
  <si>
    <t>Thực hiện</t>
  </si>
  <si>
    <t>năm</t>
  </si>
  <si>
    <t>Cùng kỳ</t>
  </si>
  <si>
    <t>năm trước</t>
  </si>
  <si>
    <t>Nội dung</t>
  </si>
  <si>
    <t>3=2/1</t>
  </si>
  <si>
    <t>Thu từ khu vực doanh nghiệp nhà nước</t>
  </si>
  <si>
    <t>Thu từ khu vực doanh nghiệp có vốn đầu tư nước ngoài</t>
  </si>
  <si>
    <t>Thu từ khu vực kinh tế ngoài quốc doanh</t>
  </si>
  <si>
    <t>Thu tiền sử dụng đất</t>
  </si>
  <si>
    <t>Thu quỹ đất công ích, hoa lợi công sản khác</t>
  </si>
  <si>
    <t>Thu viện trợ</t>
  </si>
  <si>
    <t>THU NS QUẬN ĐƯỢC HƯỞNG THEO PHÂN CẤP</t>
  </si>
  <si>
    <t>Từ các khoản thu phân chia</t>
  </si>
  <si>
    <t>Các khoản thu hưởng 100%</t>
  </si>
  <si>
    <t>CHI CÂN ĐỐI NGÂN SÁCH QUẬN</t>
  </si>
  <si>
    <t>Chi đầu tư cho các dự án</t>
  </si>
  <si>
    <t>Chi đầu tư phát triển khác</t>
  </si>
  <si>
    <t>Trong đó:</t>
  </si>
  <si>
    <t>Chi y tế, dân số và gia đình</t>
  </si>
  <si>
    <t>Chi sự nghiệp văn hóa thông tin</t>
  </si>
  <si>
    <t>Chi sự nghiệp phát thanh, truyền hình</t>
  </si>
  <si>
    <t>Chi sự nghiệp thể dục thể thao</t>
  </si>
  <si>
    <t>Chi bảo đảm xã hội</t>
  </si>
  <si>
    <t>(Kèm theo Thông báo số                  /TB-UBND ngày           tháng 4 năm 2017 của Ủy ban nhân dân Quận 8)</t>
  </si>
  <si>
    <t>Biểu số 93/CK-NSNN</t>
  </si>
  <si>
    <t>Dự toán năm</t>
  </si>
  <si>
    <t>So sánh thực hiện với (%)</t>
  </si>
  <si>
    <t>Thu cân đối NSNN</t>
  </si>
  <si>
    <t>Lệ phí trước bạ</t>
  </si>
  <si>
    <t>Thu phí, lệ phí</t>
  </si>
  <si>
    <t>Tiền cho thuê đất, thuê mặt nước</t>
  </si>
  <si>
    <t>Tiền cho thuê và tiền bán nhà ở thuộc sở hữu nhà nước</t>
  </si>
  <si>
    <t>Biểu số 95/CK-NSNN</t>
  </si>
  <si>
    <t>Biểu số 94/CK-NSNN</t>
  </si>
  <si>
    <t>Chi hoạt động của cơ quan quản lý hành chính, đảng, đoàn thể</t>
  </si>
  <si>
    <t>Dự phòng ngân sách</t>
  </si>
  <si>
    <t>CHI TỪ NGUỒN BỔ SUNG CÓ MỤC TIÊU TỪ NGÂN SÁCH CẤP TRÊN</t>
  </si>
  <si>
    <t>Chương trình mục tiêu quốc gia</t>
  </si>
  <si>
    <t>Cho các chương trình dự án quan trọng vốn đầu tư</t>
  </si>
  <si>
    <t>Cho các nhiệm vụ, chính sách kinh phí thường xuyên</t>
  </si>
  <si>
    <t>Chi từ nguồn bổ sung có mục tiêu từ NS cấp trên</t>
  </si>
  <si>
    <t xml:space="preserve">TỔNG NGUỒN THU NSNN TRÊN ĐỊA BÀN </t>
  </si>
  <si>
    <t xml:space="preserve">TỔNG THU NSNN TRÊN ĐỊA BÀN </t>
  </si>
  <si>
    <t xml:space="preserve">     ỦY BAN NHÂN DÂN QUẬN 8</t>
  </si>
  <si>
    <t>PHÒNG TÀI CHÍNH - KẾ HOẠCH</t>
  </si>
  <si>
    <t xml:space="preserve">                   _______</t>
  </si>
  <si>
    <t xml:space="preserve">Dự toán chi đầu tư phát triển: được giao theo Quyết định số 6608/QĐ-UBND ngày 27/12/2017 </t>
  </si>
  <si>
    <t>và bổ sung theo Quyết định số 1910/QĐ-UBND ngày 09/05/2018 của UBND TPHCM.</t>
  </si>
  <si>
    <t>6 tháng</t>
  </si>
  <si>
    <t>CÂN ĐỐI NGÂN SÁCH QUẬN 6 THÁNG NĂM 2018</t>
  </si>
  <si>
    <t>THỰC HIỆN THU NGÂN SÁCH NHÀ NƯỚC 6 THÁNG NĂM 2018</t>
  </si>
  <si>
    <t>THỰC HIỆN CHI NGÂN SÁCH QUẬN 6 THÁNG NĂM 2018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</si>
</sst>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[Red]\(#,##0.0\)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  <numFmt numFmtId="179" formatCode="#,##0.0000"/>
    <numFmt numFmtId="180" formatCode="#,##0.00000"/>
    <numFmt numFmtId="181" formatCode="_-* #,##0\ &quot;Ft&quot;_-;\-* #,##0\ &quot;Ft&quot;_-;_-* &quot;-&quot;\ &quot;Ft&quot;_-;_-@_-"/>
    <numFmt numFmtId="182" formatCode="_-* #,##0\ _F_t_-;\-* #,##0\ _F_t_-;_-* &quot;-&quot;\ _F_t_-;_-@_-"/>
    <numFmt numFmtId="183" formatCode="_-* #,##0.00\ &quot;Ft&quot;_-;\-* #,##0.00\ &quot;Ft&quot;_-;_-* &quot;-&quot;??\ &quot;Ft&quot;_-;_-@_-"/>
    <numFmt numFmtId="184" formatCode="_-* #,##0.00\ _F_t_-;\-* #,##0.00\ _F_t_-;_-* &quot;-&quot;??\ _F_t_-;_-@_-"/>
    <numFmt numFmtId="185" formatCode="0.000"/>
    <numFmt numFmtId="186" formatCode="_-* #,##0\ _F_t_-;\-* #,##0\ _F_t_-;_-* &quot;-&quot;??\ _F_t_-;_-@_-"/>
    <numFmt numFmtId="187" formatCode="#,##0;[Red]#,##0"/>
    <numFmt numFmtId="188" formatCode="_-* #,##0.000\ _F_t_-;\-* #,##0.000\ _F_t_-;_-* &quot;-&quot;??\ _F_t_-;_-@_-"/>
    <numFmt numFmtId="189" formatCode="#,##0.0;[Red]\-#,##0.0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VNI-Times"/>
      <family val="0"/>
    </font>
    <font>
      <sz val="9"/>
      <name val="Times New Roman"/>
      <family val="1"/>
    </font>
    <font>
      <sz val="10"/>
      <name val="Arial"/>
      <family val="2"/>
    </font>
    <font>
      <b/>
      <sz val="10"/>
      <color indexed="1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0000CC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2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3" fontId="6" fillId="0" borderId="10" xfId="43" applyNumberFormat="1" applyFont="1" applyFill="1" applyBorder="1" applyAlignment="1">
      <alignment/>
    </xf>
    <xf numFmtId="3" fontId="6" fillId="0" borderId="0" xfId="43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3" fontId="6" fillId="0" borderId="11" xfId="43" applyNumberFormat="1" applyFont="1" applyFill="1" applyBorder="1" applyAlignment="1">
      <alignment/>
    </xf>
    <xf numFmtId="3" fontId="6" fillId="0" borderId="11" xfId="43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3" fontId="9" fillId="0" borderId="12" xfId="43" applyNumberFormat="1" applyFont="1" applyFill="1" applyBorder="1" applyAlignment="1">
      <alignment/>
    </xf>
    <xf numFmtId="0" fontId="6" fillId="0" borderId="19" xfId="0" applyFont="1" applyBorder="1" applyAlignment="1">
      <alignment horizontal="center"/>
    </xf>
    <xf numFmtId="3" fontId="9" fillId="0" borderId="11" xfId="43" applyNumberFormat="1" applyFont="1" applyFill="1" applyBorder="1" applyAlignment="1">
      <alignment/>
    </xf>
    <xf numFmtId="3" fontId="16" fillId="0" borderId="11" xfId="43" applyNumberFormat="1" applyFont="1" applyFill="1" applyBorder="1" applyAlignment="1">
      <alignment/>
    </xf>
    <xf numFmtId="3" fontId="9" fillId="0" borderId="10" xfId="43" applyNumberFormat="1" applyFont="1" applyFill="1" applyBorder="1" applyAlignment="1">
      <alignment/>
    </xf>
    <xf numFmtId="0" fontId="9" fillId="0" borderId="20" xfId="0" applyFont="1" applyBorder="1" applyAlignment="1">
      <alignment/>
    </xf>
    <xf numFmtId="0" fontId="9" fillId="0" borderId="11" xfId="0" applyFont="1" applyBorder="1" applyAlignment="1">
      <alignment/>
    </xf>
    <xf numFmtId="0" fontId="6" fillId="0" borderId="2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15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9" fillId="0" borderId="21" xfId="0" applyFont="1" applyBorder="1" applyAlignment="1">
      <alignment/>
    </xf>
    <xf numFmtId="0" fontId="6" fillId="0" borderId="17" xfId="0" applyFont="1" applyBorder="1" applyAlignment="1">
      <alignment horizontal="centerContinuous"/>
    </xf>
    <xf numFmtId="0" fontId="6" fillId="0" borderId="13" xfId="0" applyFont="1" applyBorder="1" applyAlignment="1" quotePrefix="1">
      <alignment horizontal="centerContinuous"/>
    </xf>
    <xf numFmtId="4" fontId="9" fillId="0" borderId="12" xfId="43" applyNumberFormat="1" applyFont="1" applyFill="1" applyBorder="1" applyAlignment="1">
      <alignment/>
    </xf>
    <xf numFmtId="4" fontId="9" fillId="0" borderId="11" xfId="43" applyNumberFormat="1" applyFont="1" applyFill="1" applyBorder="1" applyAlignment="1">
      <alignment/>
    </xf>
    <xf numFmtId="4" fontId="6" fillId="0" borderId="11" xfId="43" applyNumberFormat="1" applyFont="1" applyBorder="1" applyAlignment="1">
      <alignment/>
    </xf>
    <xf numFmtId="4" fontId="6" fillId="0" borderId="12" xfId="43" applyNumberFormat="1" applyFont="1" applyFill="1" applyBorder="1" applyAlignment="1">
      <alignment/>
    </xf>
    <xf numFmtId="4" fontId="16" fillId="0" borderId="11" xfId="43" applyNumberFormat="1" applyFont="1" applyFill="1" applyBorder="1" applyAlignment="1">
      <alignment/>
    </xf>
    <xf numFmtId="4" fontId="9" fillId="0" borderId="10" xfId="43" applyNumberFormat="1" applyFont="1" applyFill="1" applyBorder="1" applyAlignment="1">
      <alignment/>
    </xf>
    <xf numFmtId="4" fontId="6" fillId="0" borderId="11" xfId="43" applyNumberFormat="1" applyFont="1" applyFill="1" applyBorder="1" applyAlignment="1">
      <alignment/>
    </xf>
    <xf numFmtId="0" fontId="9" fillId="0" borderId="22" xfId="0" applyFont="1" applyBorder="1" applyAlignment="1">
      <alignment horizontal="center"/>
    </xf>
    <xf numFmtId="0" fontId="9" fillId="0" borderId="22" xfId="0" applyFont="1" applyBorder="1" applyAlignment="1">
      <alignment/>
    </xf>
    <xf numFmtId="3" fontId="9" fillId="0" borderId="22" xfId="43" applyNumberFormat="1" applyFont="1" applyFill="1" applyBorder="1" applyAlignment="1">
      <alignment/>
    </xf>
    <xf numFmtId="4" fontId="9" fillId="0" borderId="22" xfId="43" applyNumberFormat="1" applyFont="1" applyFill="1" applyBorder="1" applyAlignment="1">
      <alignment/>
    </xf>
    <xf numFmtId="0" fontId="6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6" fillId="0" borderId="10" xfId="0" applyFont="1" applyBorder="1" applyAlignment="1">
      <alignment/>
    </xf>
    <xf numFmtId="4" fontId="6" fillId="0" borderId="10" xfId="43" applyNumberFormat="1" applyFont="1" applyFill="1" applyBorder="1" applyAlignment="1">
      <alignment/>
    </xf>
    <xf numFmtId="3" fontId="6" fillId="0" borderId="11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4" fontId="10" fillId="0" borderId="12" xfId="43" applyNumberFormat="1" applyFont="1" applyFill="1" applyBorder="1" applyAlignment="1">
      <alignment/>
    </xf>
    <xf numFmtId="0" fontId="9" fillId="0" borderId="12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3" fontId="14" fillId="0" borderId="11" xfId="0" applyNumberFormat="1" applyFont="1" applyBorder="1" applyAlignment="1">
      <alignment/>
    </xf>
    <xf numFmtId="4" fontId="14" fillId="0" borderId="11" xfId="43" applyNumberFormat="1" applyFont="1" applyFill="1" applyBorder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" fontId="9" fillId="0" borderId="11" xfId="43" applyNumberFormat="1" applyFont="1" applyBorder="1" applyAlignment="1">
      <alignment/>
    </xf>
    <xf numFmtId="4" fontId="10" fillId="0" borderId="11" xfId="43" applyNumberFormat="1" applyFont="1" applyFill="1" applyBorder="1" applyAlignment="1">
      <alignment/>
    </xf>
    <xf numFmtId="38" fontId="6" fillId="0" borderId="0" xfId="42" applyNumberFormat="1" applyFont="1" applyAlignment="1">
      <alignment/>
    </xf>
    <xf numFmtId="4" fontId="6" fillId="0" borderId="0" xfId="0" applyNumberFormat="1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21" xfId="0" applyFont="1" applyBorder="1" applyAlignment="1">
      <alignment/>
    </xf>
    <xf numFmtId="3" fontId="6" fillId="0" borderId="12" xfId="43" applyNumberFormat="1" applyFont="1" applyFill="1" applyBorder="1" applyAlignment="1">
      <alignment/>
    </xf>
    <xf numFmtId="0" fontId="9" fillId="0" borderId="23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Continuous"/>
    </xf>
    <xf numFmtId="0" fontId="9" fillId="0" borderId="13" xfId="0" applyFont="1" applyBorder="1" applyAlignment="1">
      <alignment horizontal="centerContinuous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Continuous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7" xfId="0" applyFont="1" applyBorder="1" applyAlignment="1">
      <alignment horizontal="centerContinuous"/>
    </xf>
    <xf numFmtId="0" fontId="10" fillId="0" borderId="0" xfId="0" applyFont="1" applyAlignment="1">
      <alignment horizontal="right"/>
    </xf>
    <xf numFmtId="0" fontId="6" fillId="0" borderId="11" xfId="0" applyFont="1" applyBorder="1" applyAlignment="1">
      <alignment vertical="top" wrapText="1"/>
    </xf>
    <xf numFmtId="3" fontId="6" fillId="0" borderId="11" xfId="0" applyNumberFormat="1" applyFont="1" applyBorder="1" applyAlignment="1">
      <alignment vertical="top"/>
    </xf>
    <xf numFmtId="4" fontId="6" fillId="0" borderId="12" xfId="43" applyNumberFormat="1" applyFont="1" applyFill="1" applyBorder="1" applyAlignment="1">
      <alignment vertical="top"/>
    </xf>
    <xf numFmtId="4" fontId="6" fillId="0" borderId="11" xfId="43" applyNumberFormat="1" applyFont="1" applyFill="1" applyBorder="1" applyAlignment="1">
      <alignment vertical="top"/>
    </xf>
    <xf numFmtId="0" fontId="17" fillId="0" borderId="11" xfId="0" applyFont="1" applyBorder="1" applyAlignment="1">
      <alignment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0" fontId="12" fillId="0" borderId="11" xfId="0" applyFont="1" applyBorder="1" applyAlignment="1">
      <alignment vertical="top"/>
    </xf>
    <xf numFmtId="0" fontId="9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top"/>
    </xf>
    <xf numFmtId="3" fontId="9" fillId="0" borderId="12" xfId="43" applyNumberFormat="1" applyFont="1" applyFill="1" applyBorder="1" applyAlignment="1">
      <alignment vertical="top"/>
    </xf>
    <xf numFmtId="4" fontId="9" fillId="0" borderId="12" xfId="43" applyNumberFormat="1" applyFont="1" applyFill="1" applyBorder="1" applyAlignment="1">
      <alignment vertical="top"/>
    </xf>
    <xf numFmtId="3" fontId="9" fillId="0" borderId="11" xfId="0" applyNumberFormat="1" applyFont="1" applyBorder="1" applyAlignment="1">
      <alignment vertical="top"/>
    </xf>
    <xf numFmtId="3" fontId="6" fillId="0" borderId="11" xfId="43" applyNumberFormat="1" applyFont="1" applyFill="1" applyBorder="1" applyAlignment="1">
      <alignment vertical="top"/>
    </xf>
    <xf numFmtId="3" fontId="52" fillId="0" borderId="11" xfId="0" applyNumberFormat="1" applyFont="1" applyBorder="1" applyAlignment="1">
      <alignment/>
    </xf>
    <xf numFmtId="178" fontId="6" fillId="0" borderId="0" xfId="0" applyNumberFormat="1" applyFont="1" applyAlignment="1" quotePrefix="1">
      <alignment/>
    </xf>
    <xf numFmtId="40" fontId="6" fillId="0" borderId="0" xfId="42" applyFont="1" applyAlignment="1">
      <alignment/>
    </xf>
    <xf numFmtId="4" fontId="14" fillId="0" borderId="0" xfId="0" applyNumberFormat="1" applyFont="1" applyAlignment="1">
      <alignment/>
    </xf>
    <xf numFmtId="0" fontId="53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omma 3" xfId="46"/>
    <cellStyle name="Comma 4" xfId="47"/>
    <cellStyle name="Comma 5" xfId="48"/>
    <cellStyle name="Comma 6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3" xfId="65"/>
    <cellStyle name="Normal 3 2" xfId="66"/>
    <cellStyle name="Normal 4" xfId="67"/>
    <cellStyle name="Normal 4 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zoomScale="120" zoomScaleNormal="120" zoomScalePageLayoutView="0" workbookViewId="0" topLeftCell="A1">
      <selection activeCell="E22" sqref="E22"/>
    </sheetView>
  </sheetViews>
  <sheetFormatPr defaultColWidth="9.140625" defaultRowHeight="12.75"/>
  <cols>
    <col min="1" max="1" width="5.421875" style="1" customWidth="1"/>
    <col min="2" max="2" width="39.57421875" style="1" customWidth="1"/>
    <col min="3" max="6" width="10.57421875" style="1" customWidth="1"/>
    <col min="7" max="7" width="10.421875" style="1" bestFit="1" customWidth="1"/>
    <col min="8" max="16384" width="9.140625" style="1" customWidth="1"/>
  </cols>
  <sheetData>
    <row r="1" spans="1:6" ht="12.75">
      <c r="A1" s="1" t="s">
        <v>74</v>
      </c>
      <c r="F1" s="2" t="s">
        <v>55</v>
      </c>
    </row>
    <row r="2" ht="12.75">
      <c r="A2" s="9" t="s">
        <v>75</v>
      </c>
    </row>
    <row r="3" ht="12.75">
      <c r="A3" s="9" t="s">
        <v>76</v>
      </c>
    </row>
    <row r="4" ht="12.75">
      <c r="A4" s="9"/>
    </row>
    <row r="5" spans="1:6" s="3" customFormat="1" ht="16.5">
      <c r="A5" s="106" t="s">
        <v>80</v>
      </c>
      <c r="B5" s="106"/>
      <c r="C5" s="106"/>
      <c r="D5" s="106"/>
      <c r="E5" s="106"/>
      <c r="F5" s="106"/>
    </row>
    <row r="6" spans="1:6" s="4" customFormat="1" ht="12.75" hidden="1">
      <c r="A6" s="107" t="s">
        <v>54</v>
      </c>
      <c r="B6" s="107"/>
      <c r="C6" s="107"/>
      <c r="D6" s="107"/>
      <c r="E6" s="107"/>
      <c r="F6" s="107"/>
    </row>
    <row r="7" ht="12.75">
      <c r="F7" s="85" t="s">
        <v>27</v>
      </c>
    </row>
    <row r="8" spans="1:6" ht="12.75">
      <c r="A8" s="76" t="s">
        <v>0</v>
      </c>
      <c r="B8" s="76" t="s">
        <v>34</v>
      </c>
      <c r="C8" s="77" t="s">
        <v>18</v>
      </c>
      <c r="D8" s="77" t="s">
        <v>30</v>
      </c>
      <c r="E8" s="78" t="s">
        <v>57</v>
      </c>
      <c r="F8" s="78"/>
    </row>
    <row r="9" spans="1:6" ht="12.75">
      <c r="A9" s="79"/>
      <c r="B9" s="80"/>
      <c r="C9" s="81" t="s">
        <v>31</v>
      </c>
      <c r="D9" s="81" t="s">
        <v>79</v>
      </c>
      <c r="E9" s="81" t="s">
        <v>56</v>
      </c>
      <c r="F9" s="81" t="s">
        <v>32</v>
      </c>
    </row>
    <row r="10" spans="1:6" ht="12.75">
      <c r="A10" s="82"/>
      <c r="B10" s="83"/>
      <c r="C10" s="84"/>
      <c r="D10" s="84"/>
      <c r="E10" s="84"/>
      <c r="F10" s="84" t="s">
        <v>33</v>
      </c>
    </row>
    <row r="11" spans="1:6" ht="12.75">
      <c r="A11" s="16" t="s">
        <v>7</v>
      </c>
      <c r="B11" s="26" t="s">
        <v>8</v>
      </c>
      <c r="C11" s="38" t="s">
        <v>24</v>
      </c>
      <c r="D11" s="38" t="s">
        <v>25</v>
      </c>
      <c r="E11" s="38" t="s">
        <v>35</v>
      </c>
      <c r="F11" s="38" t="s">
        <v>26</v>
      </c>
    </row>
    <row r="12" spans="1:6" ht="12.75">
      <c r="A12" s="15" t="s">
        <v>7</v>
      </c>
      <c r="B12" s="36" t="s">
        <v>72</v>
      </c>
      <c r="C12" s="25">
        <f>C13+C16</f>
        <v>938884</v>
      </c>
      <c r="D12" s="25">
        <f>D13+D16</f>
        <v>522222</v>
      </c>
      <c r="E12" s="39">
        <f>D12/C12*100</f>
        <v>55.62156773360714</v>
      </c>
      <c r="F12" s="39">
        <f>D12/482619*100</f>
        <v>108.20585182100166</v>
      </c>
    </row>
    <row r="13" spans="1:6" ht="12.75">
      <c r="A13" s="10" t="s">
        <v>1</v>
      </c>
      <c r="B13" s="31" t="s">
        <v>58</v>
      </c>
      <c r="C13" s="27">
        <f>SUM(C14:C15)</f>
        <v>938884</v>
      </c>
      <c r="D13" s="27">
        <f>SUM(D14:D15)</f>
        <v>476707</v>
      </c>
      <c r="E13" s="39">
        <f>D13/C13*100</f>
        <v>50.77379101145616</v>
      </c>
      <c r="F13" s="68">
        <f>D13/(482619-42807)*100</f>
        <v>108.38881158313099</v>
      </c>
    </row>
    <row r="14" spans="1:6" ht="12.75">
      <c r="A14" s="11">
        <v>1</v>
      </c>
      <c r="B14" s="32" t="s">
        <v>9</v>
      </c>
      <c r="C14" s="13">
        <v>938884</v>
      </c>
      <c r="D14" s="13">
        <f>522222-45515</f>
        <v>476707</v>
      </c>
      <c r="E14" s="42">
        <f>D14/C14*100</f>
        <v>50.77379101145616</v>
      </c>
      <c r="F14" s="41">
        <f>D14/(482619-42807)*100</f>
        <v>108.38881158313099</v>
      </c>
    </row>
    <row r="15" spans="1:6" ht="12.75">
      <c r="A15" s="11">
        <v>2</v>
      </c>
      <c r="B15" s="32" t="s">
        <v>41</v>
      </c>
      <c r="C15" s="13"/>
      <c r="D15" s="13"/>
      <c r="E15" s="42"/>
      <c r="F15" s="41"/>
    </row>
    <row r="16" spans="1:6" ht="12.75">
      <c r="A16" s="10" t="s">
        <v>2</v>
      </c>
      <c r="B16" s="31" t="s">
        <v>28</v>
      </c>
      <c r="C16" s="28"/>
      <c r="D16" s="28">
        <v>45515</v>
      </c>
      <c r="E16" s="39"/>
      <c r="F16" s="43"/>
    </row>
    <row r="17" spans="1:8" ht="12.75">
      <c r="A17" s="10" t="s">
        <v>8</v>
      </c>
      <c r="B17" s="30" t="s">
        <v>13</v>
      </c>
      <c r="C17" s="27">
        <f>SUM(C18,C22,C25)</f>
        <v>938884</v>
      </c>
      <c r="D17" s="27">
        <f>SUM(D18,D22,D25)</f>
        <v>375863</v>
      </c>
      <c r="E17" s="39">
        <f aca="true" t="shared" si="0" ref="E17:E22">D17/C17*100</f>
        <v>40.032954017748736</v>
      </c>
      <c r="F17" s="39">
        <f>D17/355386*100</f>
        <v>105.76190395794995</v>
      </c>
      <c r="G17" s="8"/>
      <c r="H17" s="71"/>
    </row>
    <row r="18" spans="1:7" ht="12.75">
      <c r="A18" s="10" t="s">
        <v>1</v>
      </c>
      <c r="B18" s="30" t="s">
        <v>14</v>
      </c>
      <c r="C18" s="27">
        <f>SUM(C19:C21)</f>
        <v>936247</v>
      </c>
      <c r="D18" s="27">
        <f>SUM(D19:D21)</f>
        <v>374183</v>
      </c>
      <c r="E18" s="39">
        <f t="shared" si="0"/>
        <v>39.966269584842465</v>
      </c>
      <c r="F18" s="39">
        <f>D18/(355386-821)*100</f>
        <v>105.53297702818946</v>
      </c>
      <c r="G18" s="5"/>
    </row>
    <row r="19" spans="1:7" ht="12.75">
      <c r="A19" s="11">
        <v>1</v>
      </c>
      <c r="B19" s="32" t="s">
        <v>4</v>
      </c>
      <c r="C19" s="100">
        <v>77531</v>
      </c>
      <c r="D19" s="12">
        <v>27344</v>
      </c>
      <c r="E19" s="42">
        <f t="shared" si="0"/>
        <v>35.26847325585894</v>
      </c>
      <c r="F19" s="42">
        <f>D19/17482*100</f>
        <v>156.4123098043702</v>
      </c>
      <c r="G19" s="5"/>
    </row>
    <row r="20" spans="1:7" ht="12.75">
      <c r="A20" s="11">
        <v>2</v>
      </c>
      <c r="B20" s="32" t="s">
        <v>5</v>
      </c>
      <c r="C20" s="12">
        <f>861353-23630-2637</f>
        <v>835086</v>
      </c>
      <c r="D20" s="12">
        <f>348519-1680</f>
        <v>346839</v>
      </c>
      <c r="E20" s="42">
        <f t="shared" si="0"/>
        <v>41.53332710642976</v>
      </c>
      <c r="F20" s="42">
        <f>D20/(337903-821)*100</f>
        <v>102.8945479141574</v>
      </c>
      <c r="G20" s="101"/>
    </row>
    <row r="21" spans="1:7" ht="12.75">
      <c r="A21" s="11">
        <v>3</v>
      </c>
      <c r="B21" s="32" t="s">
        <v>6</v>
      </c>
      <c r="C21" s="12">
        <v>23630</v>
      </c>
      <c r="D21" s="12"/>
      <c r="E21" s="42">
        <f t="shared" si="0"/>
        <v>0</v>
      </c>
      <c r="F21" s="42"/>
      <c r="G21" s="5"/>
    </row>
    <row r="22" spans="1:7" ht="12.75">
      <c r="A22" s="19" t="s">
        <v>2</v>
      </c>
      <c r="B22" s="75" t="s">
        <v>71</v>
      </c>
      <c r="C22" s="29">
        <v>2637</v>
      </c>
      <c r="D22" s="29">
        <v>1680</v>
      </c>
      <c r="E22" s="44">
        <f t="shared" si="0"/>
        <v>63.70875995449374</v>
      </c>
      <c r="F22" s="44">
        <f>D22/821*100</f>
        <v>204.62850182704017</v>
      </c>
      <c r="G22" s="5"/>
    </row>
    <row r="23" spans="1:7" ht="12.75" hidden="1">
      <c r="A23" s="72"/>
      <c r="B23" s="73"/>
      <c r="C23" s="74"/>
      <c r="D23" s="74"/>
      <c r="E23" s="42"/>
      <c r="F23" s="42"/>
      <c r="G23" s="5"/>
    </row>
    <row r="24" spans="1:7" ht="12.75" hidden="1">
      <c r="A24" s="11"/>
      <c r="B24" s="32"/>
      <c r="C24" s="12"/>
      <c r="D24" s="12"/>
      <c r="E24" s="42"/>
      <c r="F24" s="42"/>
      <c r="G24" s="5"/>
    </row>
    <row r="25" spans="1:6" ht="12.75" hidden="1">
      <c r="A25" s="19"/>
      <c r="B25" s="33"/>
      <c r="C25" s="29"/>
      <c r="D25" s="29"/>
      <c r="E25" s="44"/>
      <c r="F25" s="44"/>
    </row>
    <row r="26" spans="1:6" ht="12" customHeight="1" hidden="1">
      <c r="A26" s="105"/>
      <c r="B26" s="105"/>
      <c r="C26" s="105"/>
      <c r="D26" s="18"/>
      <c r="E26" s="18"/>
      <c r="F26" s="18"/>
    </row>
    <row r="27" spans="1:6" ht="12.75">
      <c r="A27" s="1" t="s">
        <v>29</v>
      </c>
      <c r="B27" s="7"/>
      <c r="C27" s="7"/>
      <c r="D27" s="7"/>
      <c r="E27" s="7"/>
      <c r="F27" s="7"/>
    </row>
    <row r="28" ht="12.75">
      <c r="A28" s="104" t="s">
        <v>77</v>
      </c>
    </row>
    <row r="29" ht="12.75">
      <c r="A29" s="104" t="s">
        <v>78</v>
      </c>
    </row>
    <row r="32" ht="12.75">
      <c r="D32" s="70"/>
    </row>
    <row r="33" ht="12.75">
      <c r="D33" s="70"/>
    </row>
    <row r="34" ht="12.75">
      <c r="D34" s="70"/>
    </row>
    <row r="35" ht="12.75">
      <c r="D35" s="70"/>
    </row>
    <row r="36" ht="12.75">
      <c r="D36" s="70"/>
    </row>
    <row r="37" ht="12.75">
      <c r="D37" s="70"/>
    </row>
    <row r="38" ht="12.75">
      <c r="D38" s="70"/>
    </row>
    <row r="39" ht="12.75">
      <c r="D39" s="70"/>
    </row>
    <row r="40" ht="12.75">
      <c r="D40" s="70"/>
    </row>
  </sheetData>
  <sheetProtection/>
  <mergeCells count="3">
    <mergeCell ref="A26:C26"/>
    <mergeCell ref="A5:F5"/>
    <mergeCell ref="A6:F6"/>
  </mergeCells>
  <printOptions/>
  <pageMargins left="1" right="0.5" top="1" bottom="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showGridLines="0" showZeros="0" tabSelected="1" zoomScale="120" zoomScaleNormal="120" zoomScalePageLayoutView="0" workbookViewId="0" topLeftCell="A1">
      <selection activeCell="G12" sqref="G12"/>
    </sheetView>
  </sheetViews>
  <sheetFormatPr defaultColWidth="9.140625" defaultRowHeight="12.75"/>
  <cols>
    <col min="1" max="1" width="5.421875" style="1" customWidth="1"/>
    <col min="2" max="2" width="44.28125" style="1" customWidth="1"/>
    <col min="3" max="5" width="9.421875" style="1" customWidth="1"/>
    <col min="6" max="6" width="11.28125" style="1" customWidth="1"/>
    <col min="7" max="7" width="10.140625" style="1" bestFit="1" customWidth="1"/>
    <col min="8" max="16384" width="9.140625" style="1" customWidth="1"/>
  </cols>
  <sheetData>
    <row r="1" spans="1:6" ht="12.75">
      <c r="A1" s="1" t="s">
        <v>74</v>
      </c>
      <c r="F1" s="2" t="s">
        <v>64</v>
      </c>
    </row>
    <row r="2" ht="12.75">
      <c r="A2" s="9" t="s">
        <v>75</v>
      </c>
    </row>
    <row r="3" ht="12.75">
      <c r="A3" s="9" t="s">
        <v>76</v>
      </c>
    </row>
    <row r="4" ht="12.75">
      <c r="A4" s="9"/>
    </row>
    <row r="5" spans="1:6" s="3" customFormat="1" ht="16.5">
      <c r="A5" s="106" t="s">
        <v>81</v>
      </c>
      <c r="B5" s="106"/>
      <c r="C5" s="106"/>
      <c r="D5" s="106"/>
      <c r="E5" s="106"/>
      <c r="F5" s="106"/>
    </row>
    <row r="6" spans="1:6" s="4" customFormat="1" ht="12.75" hidden="1">
      <c r="A6" s="107" t="s">
        <v>54</v>
      </c>
      <c r="B6" s="107"/>
      <c r="C6" s="107"/>
      <c r="D6" s="107"/>
      <c r="E6" s="107"/>
      <c r="F6" s="107"/>
    </row>
    <row r="7" ht="12.75">
      <c r="F7" s="85" t="s">
        <v>27</v>
      </c>
    </row>
    <row r="8" spans="1:6" ht="12.75">
      <c r="A8" s="76" t="s">
        <v>0</v>
      </c>
      <c r="B8" s="76" t="s">
        <v>34</v>
      </c>
      <c r="C8" s="77" t="s">
        <v>18</v>
      </c>
      <c r="D8" s="77" t="s">
        <v>30</v>
      </c>
      <c r="E8" s="78" t="s">
        <v>57</v>
      </c>
      <c r="F8" s="78"/>
    </row>
    <row r="9" spans="1:6" ht="12.75">
      <c r="A9" s="79"/>
      <c r="B9" s="80"/>
      <c r="C9" s="81" t="s">
        <v>31</v>
      </c>
      <c r="D9" s="81" t="s">
        <v>79</v>
      </c>
      <c r="E9" s="81" t="s">
        <v>18</v>
      </c>
      <c r="F9" s="81" t="s">
        <v>32</v>
      </c>
    </row>
    <row r="10" spans="1:6" ht="12.75">
      <c r="A10" s="82"/>
      <c r="B10" s="83"/>
      <c r="C10" s="84"/>
      <c r="D10" s="84"/>
      <c r="E10" s="84" t="s">
        <v>31</v>
      </c>
      <c r="F10" s="84" t="s">
        <v>33</v>
      </c>
    </row>
    <row r="11" spans="1:6" ht="12.75">
      <c r="A11" s="16" t="s">
        <v>7</v>
      </c>
      <c r="B11" s="26" t="s">
        <v>8</v>
      </c>
      <c r="C11" s="38" t="s">
        <v>24</v>
      </c>
      <c r="D11" s="38" t="s">
        <v>25</v>
      </c>
      <c r="E11" s="38" t="s">
        <v>35</v>
      </c>
      <c r="F11" s="38" t="s">
        <v>26</v>
      </c>
    </row>
    <row r="12" spans="1:7" ht="12.75">
      <c r="A12" s="46" t="s">
        <v>7</v>
      </c>
      <c r="B12" s="47" t="s">
        <v>73</v>
      </c>
      <c r="C12" s="48">
        <f>SUM(C13,C30)</f>
        <v>1588000</v>
      </c>
      <c r="D12" s="48">
        <f>SUM(D13,D30)</f>
        <v>715618</v>
      </c>
      <c r="E12" s="49">
        <f>D12/C12*100</f>
        <v>45.06410579345088</v>
      </c>
      <c r="F12" s="40">
        <f>D12/919651*100</f>
        <v>77.81408382092772</v>
      </c>
      <c r="G12" s="71">
        <f>F12-100</f>
        <v>-22.18591617907228</v>
      </c>
    </row>
    <row r="13" spans="1:7" ht="12.75">
      <c r="A13" s="10" t="s">
        <v>1</v>
      </c>
      <c r="B13" s="31" t="s">
        <v>9</v>
      </c>
      <c r="C13" s="57">
        <f>SUM(C14:C21,C27:C29)</f>
        <v>1588000</v>
      </c>
      <c r="D13" s="57">
        <f>SUM(D14:D21,D27:D29)</f>
        <v>715618</v>
      </c>
      <c r="E13" s="39">
        <f>D13/C13*100</f>
        <v>45.06410579345088</v>
      </c>
      <c r="F13" s="40">
        <f>D13/(919651)*100</f>
        <v>77.81408382092772</v>
      </c>
      <c r="G13" s="8"/>
    </row>
    <row r="14" spans="1:7" ht="12.75">
      <c r="A14" s="11">
        <v>1</v>
      </c>
      <c r="B14" s="50" t="s">
        <v>36</v>
      </c>
      <c r="C14" s="55"/>
      <c r="D14" s="55"/>
      <c r="E14" s="42"/>
      <c r="F14" s="45"/>
      <c r="G14" s="8"/>
    </row>
    <row r="15" spans="1:7" ht="12.75">
      <c r="A15" s="11">
        <v>2</v>
      </c>
      <c r="B15" s="50" t="s">
        <v>37</v>
      </c>
      <c r="C15" s="55"/>
      <c r="D15" s="55"/>
      <c r="E15" s="42"/>
      <c r="F15" s="45"/>
      <c r="G15" s="8"/>
    </row>
    <row r="16" spans="1:7" ht="12.75">
      <c r="A16" s="11">
        <v>3</v>
      </c>
      <c r="B16" s="50" t="s">
        <v>38</v>
      </c>
      <c r="C16" s="55">
        <v>700000</v>
      </c>
      <c r="D16" s="55">
        <f>322843</f>
        <v>322843</v>
      </c>
      <c r="E16" s="42">
        <f aca="true" t="shared" si="0" ref="E16:E21">D16/C16*100</f>
        <v>46.120428571428576</v>
      </c>
      <c r="F16" s="45">
        <f>D16/(3422+274528)*100</f>
        <v>116.15146609102356</v>
      </c>
      <c r="G16" s="8"/>
    </row>
    <row r="17" spans="1:7" ht="12.75">
      <c r="A17" s="11">
        <v>4</v>
      </c>
      <c r="B17" s="50" t="s">
        <v>20</v>
      </c>
      <c r="C17" s="55">
        <v>236000</v>
      </c>
      <c r="D17" s="55">
        <v>113275</v>
      </c>
      <c r="E17" s="42">
        <f t="shared" si="0"/>
        <v>47.9978813559322</v>
      </c>
      <c r="F17" s="45">
        <f>D17/89386*100</f>
        <v>126.7256617367373</v>
      </c>
      <c r="G17" s="8"/>
    </row>
    <row r="18" spans="1:7" ht="12.75">
      <c r="A18" s="11">
        <v>5</v>
      </c>
      <c r="B18" s="50" t="s">
        <v>22</v>
      </c>
      <c r="C18" s="55">
        <v>2000</v>
      </c>
      <c r="D18" s="55">
        <v>1604</v>
      </c>
      <c r="E18" s="42">
        <f t="shared" si="0"/>
        <v>80.2</v>
      </c>
      <c r="F18" s="45">
        <f>D18/1473*100</f>
        <v>108.89341479972845</v>
      </c>
      <c r="G18" s="8"/>
    </row>
    <row r="19" spans="1:7" ht="12.75">
      <c r="A19" s="11">
        <v>6</v>
      </c>
      <c r="B19" s="50" t="s">
        <v>59</v>
      </c>
      <c r="C19" s="55">
        <v>285000</v>
      </c>
      <c r="D19" s="55">
        <v>98309</v>
      </c>
      <c r="E19" s="42">
        <f t="shared" si="0"/>
        <v>34.49438596491228</v>
      </c>
      <c r="F19" s="45">
        <f>D19/115334*100</f>
        <v>85.23852463280559</v>
      </c>
      <c r="G19" s="8"/>
    </row>
    <row r="20" spans="1:7" ht="12.75">
      <c r="A20" s="11">
        <v>7</v>
      </c>
      <c r="B20" s="50" t="s">
        <v>60</v>
      </c>
      <c r="C20" s="55">
        <f>45932+14068</f>
        <v>60000</v>
      </c>
      <c r="D20" s="55">
        <f>21397+15084</f>
        <v>36481</v>
      </c>
      <c r="E20" s="42">
        <f t="shared" si="0"/>
        <v>60.80166666666666</v>
      </c>
      <c r="F20" s="45">
        <f>D20/(21073+14308)*100</f>
        <v>103.10901331222972</v>
      </c>
      <c r="G20" s="8"/>
    </row>
    <row r="21" spans="1:7" ht="12.75">
      <c r="A21" s="11">
        <v>8</v>
      </c>
      <c r="B21" s="50" t="s">
        <v>11</v>
      </c>
      <c r="C21" s="55">
        <f>SUM(C22:C26)</f>
        <v>262000</v>
      </c>
      <c r="D21" s="55">
        <f>SUM(D22:D26)</f>
        <v>119685</v>
      </c>
      <c r="E21" s="42">
        <f t="shared" si="0"/>
        <v>45.68129770992366</v>
      </c>
      <c r="F21" s="45">
        <f>D21/(1989+19979+338415)*100</f>
        <v>33.21050105027152</v>
      </c>
      <c r="G21" s="8"/>
    </row>
    <row r="22" spans="1:7" ht="12.75">
      <c r="A22" s="11"/>
      <c r="B22" s="51" t="s">
        <v>10</v>
      </c>
      <c r="C22" s="56"/>
      <c r="D22" s="56"/>
      <c r="E22" s="60"/>
      <c r="F22" s="45"/>
      <c r="G22" s="8"/>
    </row>
    <row r="23" spans="1:7" ht="12.75">
      <c r="A23" s="11"/>
      <c r="B23" s="51" t="s">
        <v>21</v>
      </c>
      <c r="C23" s="56">
        <f>8000</f>
        <v>8000</v>
      </c>
      <c r="D23" s="56">
        <v>6660</v>
      </c>
      <c r="E23" s="60">
        <f>D23/C23*100</f>
        <v>83.25</v>
      </c>
      <c r="F23" s="69">
        <f>D23/1989*100</f>
        <v>334.841628959276</v>
      </c>
      <c r="G23" s="8"/>
    </row>
    <row r="24" spans="1:7" ht="12.75">
      <c r="A24" s="11"/>
      <c r="B24" s="52" t="s">
        <v>39</v>
      </c>
      <c r="C24" s="56">
        <v>200000</v>
      </c>
      <c r="D24" s="56">
        <v>67780</v>
      </c>
      <c r="E24" s="60">
        <f>D24/C24*100</f>
        <v>33.89</v>
      </c>
      <c r="F24" s="69">
        <f>D24/338415*100</f>
        <v>20.028663032076004</v>
      </c>
      <c r="G24" s="8"/>
    </row>
    <row r="25" spans="1:7" ht="12.75">
      <c r="A25" s="11"/>
      <c r="B25" s="52" t="s">
        <v>61</v>
      </c>
      <c r="C25" s="56">
        <f>54000</f>
        <v>54000</v>
      </c>
      <c r="D25" s="56">
        <v>45245</v>
      </c>
      <c r="E25" s="60">
        <f>D25/C25*100</f>
        <v>83.78703703703704</v>
      </c>
      <c r="F25" s="69">
        <f>D25/19979*100</f>
        <v>226.46278592522145</v>
      </c>
      <c r="G25" s="8"/>
    </row>
    <row r="26" spans="1:7" ht="12.75">
      <c r="A26" s="11"/>
      <c r="B26" s="52" t="s">
        <v>62</v>
      </c>
      <c r="C26" s="56"/>
      <c r="D26" s="56"/>
      <c r="E26" s="42"/>
      <c r="F26" s="45"/>
      <c r="G26" s="8"/>
    </row>
    <row r="27" spans="1:7" ht="12.75">
      <c r="A27" s="11">
        <v>9</v>
      </c>
      <c r="B27" s="50" t="s">
        <v>19</v>
      </c>
      <c r="C27" s="55"/>
      <c r="D27" s="55"/>
      <c r="E27" s="42"/>
      <c r="F27" s="45"/>
      <c r="G27" s="8"/>
    </row>
    <row r="28" spans="1:7" ht="12.75">
      <c r="A28" s="21">
        <v>10</v>
      </c>
      <c r="B28" s="50" t="s">
        <v>12</v>
      </c>
      <c r="C28" s="55">
        <v>43000</v>
      </c>
      <c r="D28" s="55">
        <v>23421</v>
      </c>
      <c r="E28" s="42">
        <f>D28/C28*100</f>
        <v>54.467441860465115</v>
      </c>
      <c r="F28" s="45">
        <f>D28/39743*100</f>
        <v>58.931132526482656</v>
      </c>
      <c r="G28" s="8"/>
    </row>
    <row r="29" spans="1:7" ht="12.75">
      <c r="A29" s="11">
        <v>11</v>
      </c>
      <c r="B29" s="50" t="s">
        <v>40</v>
      </c>
      <c r="C29" s="55"/>
      <c r="D29" s="55"/>
      <c r="E29" s="42"/>
      <c r="F29" s="45">
        <f>D29/13093*100</f>
        <v>0</v>
      </c>
      <c r="G29" s="8"/>
    </row>
    <row r="30" spans="1:7" ht="12.75">
      <c r="A30" s="10" t="s">
        <v>2</v>
      </c>
      <c r="B30" s="31" t="s">
        <v>41</v>
      </c>
      <c r="C30" s="57"/>
      <c r="D30" s="57"/>
      <c r="E30" s="39"/>
      <c r="F30" s="40"/>
      <c r="G30" s="8"/>
    </row>
    <row r="31" spans="1:7" ht="12.75">
      <c r="A31" s="10" t="s">
        <v>8</v>
      </c>
      <c r="B31" s="31" t="s">
        <v>42</v>
      </c>
      <c r="C31" s="27">
        <f>SUM(C32:C33)</f>
        <v>195424</v>
      </c>
      <c r="D31" s="27">
        <f>SUM(D32:D33)</f>
        <v>107707</v>
      </c>
      <c r="E31" s="39">
        <f>D31/C31*100</f>
        <v>55.11452022269526</v>
      </c>
      <c r="F31" s="39">
        <f>D31/(853+35478+13705+17362+1989+3532+14308+19415)*100</f>
        <v>100.99866844207723</v>
      </c>
      <c r="G31" s="8"/>
    </row>
    <row r="32" spans="1:7" ht="12.75">
      <c r="A32" s="11">
        <v>1</v>
      </c>
      <c r="B32" s="50" t="s">
        <v>43</v>
      </c>
      <c r="C32" s="12">
        <f>91800+33732</f>
        <v>125532</v>
      </c>
      <c r="D32" s="12">
        <f>38307+19061+749</f>
        <v>58117</v>
      </c>
      <c r="E32" s="42">
        <f>D32/C32*100</f>
        <v>46.29656183283943</v>
      </c>
      <c r="F32" s="42">
        <f>D32/(853+35478+13705)*100</f>
        <v>116.1503717323527</v>
      </c>
      <c r="G32" s="5"/>
    </row>
    <row r="33" spans="1:7" ht="12.75">
      <c r="A33" s="14">
        <v>2</v>
      </c>
      <c r="B33" s="53" t="s">
        <v>44</v>
      </c>
      <c r="C33" s="6">
        <f>34200+8000+5603+14068+8021</f>
        <v>69892</v>
      </c>
      <c r="D33" s="6">
        <f>16284+6660+2923+15173+8550</f>
        <v>49590</v>
      </c>
      <c r="E33" s="54">
        <f>D33/C33*100</f>
        <v>70.95232644651749</v>
      </c>
      <c r="F33" s="54">
        <f>D33/(17362+1989+3532+14308+19415)*100</f>
        <v>87.60555418153552</v>
      </c>
      <c r="G33" s="5"/>
    </row>
    <row r="34" spans="1:6" s="59" customFormat="1" ht="12" customHeight="1" hidden="1">
      <c r="A34" s="58"/>
      <c r="B34" s="58"/>
      <c r="C34" s="58"/>
      <c r="D34" s="58"/>
      <c r="E34" s="58"/>
      <c r="F34" s="58"/>
    </row>
    <row r="35" spans="2:6" ht="12.75">
      <c r="B35" s="7"/>
      <c r="C35" s="7"/>
      <c r="D35" s="7"/>
      <c r="E35" s="7"/>
      <c r="F35" s="7"/>
    </row>
  </sheetData>
  <sheetProtection/>
  <mergeCells count="2">
    <mergeCell ref="A5:F5"/>
    <mergeCell ref="A6:F6"/>
  </mergeCells>
  <printOptions/>
  <pageMargins left="1" right="0.4" top="1" bottom="1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zoomScale="120" zoomScaleNormal="120" zoomScalePageLayoutView="0" workbookViewId="0" topLeftCell="A1">
      <selection activeCell="F12" sqref="F12"/>
    </sheetView>
  </sheetViews>
  <sheetFormatPr defaultColWidth="9.140625" defaultRowHeight="12.75"/>
  <cols>
    <col min="1" max="1" width="5.421875" style="1" customWidth="1"/>
    <col min="2" max="2" width="45.7109375" style="1" customWidth="1"/>
    <col min="3" max="3" width="8.140625" style="1" customWidth="1"/>
    <col min="4" max="4" width="8.57421875" style="1" customWidth="1"/>
    <col min="5" max="5" width="11.00390625" style="1" customWidth="1"/>
    <col min="6" max="6" width="10.00390625" style="1" customWidth="1"/>
    <col min="7" max="7" width="10.140625" style="1" hidden="1" customWidth="1"/>
    <col min="8" max="8" width="0.71875" style="1" customWidth="1"/>
    <col min="9" max="16384" width="9.140625" style="1" customWidth="1"/>
  </cols>
  <sheetData>
    <row r="1" spans="1:6" ht="12.75">
      <c r="A1" s="1" t="s">
        <v>74</v>
      </c>
      <c r="F1" s="2" t="s">
        <v>63</v>
      </c>
    </row>
    <row r="2" ht="12.75">
      <c r="A2" s="9" t="s">
        <v>75</v>
      </c>
    </row>
    <row r="3" ht="12.75">
      <c r="A3" s="9" t="s">
        <v>76</v>
      </c>
    </row>
    <row r="5" spans="1:6" s="3" customFormat="1" ht="16.5">
      <c r="A5" s="106" t="s">
        <v>82</v>
      </c>
      <c r="B5" s="106"/>
      <c r="C5" s="106"/>
      <c r="D5" s="106"/>
      <c r="E5" s="106"/>
      <c r="F5" s="106"/>
    </row>
    <row r="6" spans="1:6" s="4" customFormat="1" ht="12.75" hidden="1">
      <c r="A6" s="107" t="s">
        <v>54</v>
      </c>
      <c r="B6" s="107"/>
      <c r="C6" s="107"/>
      <c r="D6" s="107"/>
      <c r="E6" s="107"/>
      <c r="F6" s="107"/>
    </row>
    <row r="7" ht="12.75">
      <c r="F7" s="85" t="s">
        <v>27</v>
      </c>
    </row>
    <row r="8" spans="1:6" ht="12.75">
      <c r="A8" s="20" t="s">
        <v>0</v>
      </c>
      <c r="B8" s="20" t="s">
        <v>34</v>
      </c>
      <c r="C8" s="35" t="s">
        <v>18</v>
      </c>
      <c r="D8" s="35" t="s">
        <v>30</v>
      </c>
      <c r="E8" s="78" t="s">
        <v>57</v>
      </c>
      <c r="F8" s="17"/>
    </row>
    <row r="9" spans="1:6" ht="12.75">
      <c r="A9" s="21"/>
      <c r="B9" s="22"/>
      <c r="C9" s="34" t="s">
        <v>31</v>
      </c>
      <c r="D9" s="34" t="s">
        <v>79</v>
      </c>
      <c r="E9" s="34" t="s">
        <v>18</v>
      </c>
      <c r="F9" s="34" t="s">
        <v>32</v>
      </c>
    </row>
    <row r="10" spans="1:6" ht="12.75">
      <c r="A10" s="23"/>
      <c r="B10" s="24"/>
      <c r="C10" s="37"/>
      <c r="D10" s="37"/>
      <c r="E10" s="37" t="s">
        <v>31</v>
      </c>
      <c r="F10" s="37" t="s">
        <v>33</v>
      </c>
    </row>
    <row r="11" spans="1:6" ht="12.75">
      <c r="A11" s="16" t="s">
        <v>7</v>
      </c>
      <c r="B11" s="26" t="s">
        <v>8</v>
      </c>
      <c r="C11" s="38" t="s">
        <v>24</v>
      </c>
      <c r="D11" s="38" t="s">
        <v>25</v>
      </c>
      <c r="E11" s="38" t="s">
        <v>35</v>
      </c>
      <c r="F11" s="38" t="s">
        <v>26</v>
      </c>
    </row>
    <row r="12" spans="1:6" ht="12.75">
      <c r="A12" s="46"/>
      <c r="B12" s="47" t="s">
        <v>13</v>
      </c>
      <c r="C12" s="48">
        <f>SUM(C13,C30)</f>
        <v>938884</v>
      </c>
      <c r="D12" s="48">
        <f>SUM(D13,D30)</f>
        <v>375863</v>
      </c>
      <c r="E12" s="49">
        <f>D12/C12*100</f>
        <v>40.032954017748736</v>
      </c>
      <c r="F12" s="49">
        <f>D12/355385*100</f>
        <v>105.76220155605893</v>
      </c>
    </row>
    <row r="13" spans="1:6" ht="12.75">
      <c r="A13" s="15" t="s">
        <v>7</v>
      </c>
      <c r="B13" s="61" t="s">
        <v>45</v>
      </c>
      <c r="C13" s="25">
        <f>SUM(C14,C17,C29)</f>
        <v>936247</v>
      </c>
      <c r="D13" s="25">
        <f>SUM(D14,D17,D29)</f>
        <v>374183</v>
      </c>
      <c r="E13" s="39">
        <f aca="true" t="shared" si="0" ref="E13:E31">D13/C13*100</f>
        <v>39.966269584842465</v>
      </c>
      <c r="F13" s="39">
        <f>D13/(355385-821)*100</f>
        <v>105.53327466973523</v>
      </c>
    </row>
    <row r="14" spans="1:7" ht="12.75">
      <c r="A14" s="10" t="s">
        <v>1</v>
      </c>
      <c r="B14" s="31" t="s">
        <v>4</v>
      </c>
      <c r="C14" s="57">
        <f>SUM(C15:C16)</f>
        <v>77531</v>
      </c>
      <c r="D14" s="57">
        <f>SUM(D15:D16)</f>
        <v>27344</v>
      </c>
      <c r="E14" s="39">
        <f t="shared" si="0"/>
        <v>35.26847325585894</v>
      </c>
      <c r="F14" s="40">
        <f>D14/17482*100</f>
        <v>156.4123098043702</v>
      </c>
      <c r="G14" s="71"/>
    </row>
    <row r="15" spans="1:7" ht="12.75">
      <c r="A15" s="11">
        <v>1</v>
      </c>
      <c r="B15" s="50" t="s">
        <v>46</v>
      </c>
      <c r="C15" s="100">
        <v>77531</v>
      </c>
      <c r="D15" s="100">
        <v>27344</v>
      </c>
      <c r="E15" s="42">
        <f>D15/C15*100</f>
        <v>35.26847325585894</v>
      </c>
      <c r="F15" s="45">
        <f>D15/17482*100</f>
        <v>156.4123098043702</v>
      </c>
      <c r="G15" s="8"/>
    </row>
    <row r="16" spans="1:7" s="67" customFormat="1" ht="12.75">
      <c r="A16" s="62">
        <v>2</v>
      </c>
      <c r="B16" s="63" t="s">
        <v>47</v>
      </c>
      <c r="C16" s="64"/>
      <c r="D16" s="64"/>
      <c r="E16" s="42"/>
      <c r="F16" s="65"/>
      <c r="G16" s="66"/>
    </row>
    <row r="17" spans="1:8" ht="12.75">
      <c r="A17" s="10" t="s">
        <v>2</v>
      </c>
      <c r="B17" s="31" t="s">
        <v>5</v>
      </c>
      <c r="C17" s="57">
        <f>SUM(C19:C28)+45540+9626</f>
        <v>835086</v>
      </c>
      <c r="D17" s="57">
        <f>SUM(D19:D28)+22394+2831</f>
        <v>346839</v>
      </c>
      <c r="E17" s="39">
        <f t="shared" si="0"/>
        <v>41.53332710642976</v>
      </c>
      <c r="F17" s="40">
        <f>D17/(337903-821)*100</f>
        <v>102.8945479141574</v>
      </c>
      <c r="G17" s="8">
        <f>811300-23630</f>
        <v>787670</v>
      </c>
      <c r="H17" s="102">
        <f>811300-23630-1777</f>
        <v>785893</v>
      </c>
    </row>
    <row r="18" spans="1:8" s="67" customFormat="1" ht="12.75">
      <c r="A18" s="62"/>
      <c r="B18" s="90" t="s">
        <v>48</v>
      </c>
      <c r="C18" s="64"/>
      <c r="D18" s="64"/>
      <c r="E18" s="42"/>
      <c r="F18" s="65"/>
      <c r="G18" s="66">
        <f>811300-23630</f>
        <v>787670</v>
      </c>
      <c r="H18" s="103">
        <f>C17-H17</f>
        <v>49193</v>
      </c>
    </row>
    <row r="19" spans="1:7" ht="12.75">
      <c r="A19" s="91">
        <v>1</v>
      </c>
      <c r="B19" s="92" t="s">
        <v>15</v>
      </c>
      <c r="C19" s="55">
        <v>351225</v>
      </c>
      <c r="D19" s="87">
        <v>126625</v>
      </c>
      <c r="E19" s="88">
        <f t="shared" si="0"/>
        <v>36.05238807032529</v>
      </c>
      <c r="F19" s="89">
        <f>D19/119210*100</f>
        <v>106.22011576210049</v>
      </c>
      <c r="G19" s="8">
        <f>G17-C17</f>
        <v>-47416</v>
      </c>
    </row>
    <row r="20" spans="1:7" ht="12.75">
      <c r="A20" s="91">
        <v>2</v>
      </c>
      <c r="B20" s="93" t="s">
        <v>16</v>
      </c>
      <c r="C20" s="55"/>
      <c r="D20" s="87"/>
      <c r="E20" s="88"/>
      <c r="F20" s="89"/>
      <c r="G20" s="8">
        <f>G19-144203</f>
        <v>-191619</v>
      </c>
    </row>
    <row r="21" spans="1:7" ht="12.75">
      <c r="A21" s="91">
        <v>3</v>
      </c>
      <c r="B21" s="92" t="s">
        <v>49</v>
      </c>
      <c r="C21" s="100">
        <f>69639-2637</f>
        <v>67002</v>
      </c>
      <c r="D21" s="87">
        <f>25014-1680</f>
        <v>23334</v>
      </c>
      <c r="E21" s="88">
        <f t="shared" si="0"/>
        <v>34.82582609474344</v>
      </c>
      <c r="F21" s="89">
        <f>D21/(24131-821)*100</f>
        <v>100.1029601029601</v>
      </c>
      <c r="G21" s="8"/>
    </row>
    <row r="22" spans="1:7" ht="12.75">
      <c r="A22" s="91">
        <v>4</v>
      </c>
      <c r="B22" s="93" t="s">
        <v>50</v>
      </c>
      <c r="C22" s="55">
        <f>4299</f>
        <v>4299</v>
      </c>
      <c r="D22" s="87">
        <v>2181</v>
      </c>
      <c r="E22" s="88">
        <f t="shared" si="0"/>
        <v>50.73272854152129</v>
      </c>
      <c r="F22" s="89">
        <f>D22/3086*100</f>
        <v>70.67401166558652</v>
      </c>
      <c r="G22" s="8"/>
    </row>
    <row r="23" spans="1:7" ht="12.75">
      <c r="A23" s="91">
        <v>5</v>
      </c>
      <c r="B23" s="92" t="s">
        <v>51</v>
      </c>
      <c r="C23" s="55"/>
      <c r="D23" s="87"/>
      <c r="E23" s="88"/>
      <c r="F23" s="89"/>
      <c r="G23" s="8"/>
    </row>
    <row r="24" spans="1:7" ht="12.75">
      <c r="A24" s="91">
        <v>6</v>
      </c>
      <c r="B24" s="92" t="s">
        <v>52</v>
      </c>
      <c r="C24" s="55">
        <v>1441</v>
      </c>
      <c r="D24" s="87">
        <v>393</v>
      </c>
      <c r="E24" s="88">
        <f t="shared" si="0"/>
        <v>27.27272727272727</v>
      </c>
      <c r="F24" s="89">
        <f>D24/647*100</f>
        <v>60.741885625966</v>
      </c>
      <c r="G24" s="8"/>
    </row>
    <row r="25" spans="1:7" ht="12.75">
      <c r="A25" s="91">
        <v>7</v>
      </c>
      <c r="B25" s="92" t="s">
        <v>23</v>
      </c>
      <c r="C25" s="55">
        <f>53502</f>
        <v>53502</v>
      </c>
      <c r="D25" s="87">
        <v>15969</v>
      </c>
      <c r="E25" s="88">
        <f t="shared" si="0"/>
        <v>29.847482337108893</v>
      </c>
      <c r="F25" s="89">
        <f>D25/29404*100</f>
        <v>54.30893755951571</v>
      </c>
      <c r="G25" s="8"/>
    </row>
    <row r="26" spans="1:7" ht="12.75">
      <c r="A26" s="91">
        <v>8</v>
      </c>
      <c r="B26" s="92" t="s">
        <v>17</v>
      </c>
      <c r="C26" s="55">
        <f>40087+5475+417+421</f>
        <v>46400</v>
      </c>
      <c r="D26" s="87">
        <f>17342+1062+432+199</f>
        <v>19035</v>
      </c>
      <c r="E26" s="88">
        <f t="shared" si="0"/>
        <v>41.02370689655173</v>
      </c>
      <c r="F26" s="89">
        <f>D26/(18076+686+660)*100</f>
        <v>98.00741427247452</v>
      </c>
      <c r="G26" s="8"/>
    </row>
    <row r="27" spans="1:9" ht="12.75">
      <c r="A27" s="91">
        <v>9</v>
      </c>
      <c r="B27" s="86" t="s">
        <v>65</v>
      </c>
      <c r="C27" s="87">
        <f>167150</f>
        <v>167150</v>
      </c>
      <c r="D27" s="87">
        <v>73108</v>
      </c>
      <c r="E27" s="88">
        <f t="shared" si="0"/>
        <v>43.7379599162429</v>
      </c>
      <c r="F27" s="89">
        <f>D27/63620*100</f>
        <v>114.91354919836529</v>
      </c>
      <c r="G27" s="8"/>
      <c r="I27" s="8"/>
    </row>
    <row r="28" spans="1:7" ht="12.75">
      <c r="A28" s="91">
        <v>10</v>
      </c>
      <c r="B28" s="92" t="s">
        <v>53</v>
      </c>
      <c r="C28" s="87">
        <v>88901</v>
      </c>
      <c r="D28" s="87">
        <v>60969</v>
      </c>
      <c r="E28" s="88">
        <f t="shared" si="0"/>
        <v>68.58078086860665</v>
      </c>
      <c r="F28" s="89">
        <f>D28/58927*100</f>
        <v>103.46530452933291</v>
      </c>
      <c r="G28" s="8"/>
    </row>
    <row r="29" spans="1:7" ht="12.75">
      <c r="A29" s="10" t="s">
        <v>3</v>
      </c>
      <c r="B29" s="31" t="s">
        <v>66</v>
      </c>
      <c r="C29" s="57">
        <v>23630</v>
      </c>
      <c r="D29" s="57"/>
      <c r="E29" s="39">
        <f t="shared" si="0"/>
        <v>0</v>
      </c>
      <c r="F29" s="40"/>
      <c r="G29" s="8"/>
    </row>
    <row r="30" spans="1:6" ht="25.5">
      <c r="A30" s="95" t="s">
        <v>8</v>
      </c>
      <c r="B30" s="94" t="s">
        <v>67</v>
      </c>
      <c r="C30" s="96">
        <f>SUM(C31:C32)</f>
        <v>2637</v>
      </c>
      <c r="D30" s="96">
        <f>SUM(D31:D32)</f>
        <v>1680</v>
      </c>
      <c r="E30" s="97">
        <f>D30/C30*100</f>
        <v>63.70875995449374</v>
      </c>
      <c r="F30" s="97">
        <f>D30/821*100</f>
        <v>204.62850182704017</v>
      </c>
    </row>
    <row r="31" spans="1:7" ht="12.75">
      <c r="A31" s="91">
        <v>1</v>
      </c>
      <c r="B31" s="92" t="s">
        <v>68</v>
      </c>
      <c r="C31" s="12">
        <v>2637</v>
      </c>
      <c r="D31" s="87">
        <v>1680</v>
      </c>
      <c r="E31" s="88">
        <f t="shared" si="0"/>
        <v>63.70875995449374</v>
      </c>
      <c r="F31" s="88">
        <f>D31/821*100</f>
        <v>204.62850182704017</v>
      </c>
      <c r="G31" s="8"/>
    </row>
    <row r="32" spans="1:7" ht="12.75">
      <c r="A32" s="91">
        <v>2</v>
      </c>
      <c r="B32" s="92" t="s">
        <v>69</v>
      </c>
      <c r="C32" s="98">
        <f>SUM(C33)</f>
        <v>0</v>
      </c>
      <c r="D32" s="98">
        <f>SUM(D33)</f>
        <v>0</v>
      </c>
      <c r="E32" s="97"/>
      <c r="F32" s="97">
        <f>D32/385*100</f>
        <v>0</v>
      </c>
      <c r="G32" s="8"/>
    </row>
    <row r="33" spans="1:7" ht="12.75">
      <c r="A33" s="91">
        <v>3</v>
      </c>
      <c r="B33" s="92" t="s">
        <v>70</v>
      </c>
      <c r="C33" s="99"/>
      <c r="D33" s="99"/>
      <c r="E33" s="88"/>
      <c r="F33" s="88">
        <f>D33/385*100</f>
        <v>0</v>
      </c>
      <c r="G33" s="8"/>
    </row>
    <row r="34" spans="1:7" ht="12.75">
      <c r="A34" s="19"/>
      <c r="B34" s="33"/>
      <c r="C34" s="29"/>
      <c r="D34" s="29"/>
      <c r="E34" s="44"/>
      <c r="F34" s="54">
        <f>D34/385*100</f>
        <v>0</v>
      </c>
      <c r="G34" s="5"/>
    </row>
    <row r="35" spans="1:6" s="59" customFormat="1" ht="12" customHeight="1">
      <c r="A35" s="58"/>
      <c r="B35" s="58"/>
      <c r="C35" s="58"/>
      <c r="D35" s="58"/>
      <c r="E35" s="58"/>
      <c r="F35" s="58"/>
    </row>
    <row r="36" spans="2:6" ht="12.75">
      <c r="B36" s="7"/>
      <c r="C36" s="7"/>
      <c r="D36" s="7"/>
      <c r="E36" s="7"/>
      <c r="F36" s="7"/>
    </row>
  </sheetData>
  <sheetProtection/>
  <mergeCells count="2">
    <mergeCell ref="A5:F5"/>
    <mergeCell ref="A6:F6"/>
  </mergeCells>
  <printOptions/>
  <pageMargins left="0.96" right="0.47" top="1" bottom="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</cp:lastModifiedBy>
  <cp:lastPrinted>2018-07-31T02:27:15Z</cp:lastPrinted>
  <dcterms:created xsi:type="dcterms:W3CDTF">2001-08-16T01:23:45Z</dcterms:created>
  <dcterms:modified xsi:type="dcterms:W3CDTF">2018-07-31T02:37:26Z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Ng">
    <vt:lpwstr>2018-08-16T00:00:00Z</vt:lpwstr>
  </property>
  <property fmtid="{D5CDD505-2E9C-101B-9397-08002B2CF9AE}" pid="4" name="ContentTy">
    <vt:lpwstr>Hình ảnh</vt:lpwstr>
  </property>
  <property fmtid="{D5CDD505-2E9C-101B-9397-08002B2CF9AE}" pid="5" name="Ngày g">
    <vt:lpwstr>2018-08-16T09:48:00Z</vt:lpwstr>
  </property>
</Properties>
</file>