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140" activeTab="0"/>
  </bookViews>
  <sheets>
    <sheet name="BS93" sheetId="1" r:id="rId1"/>
    <sheet name="BS94" sheetId="2" r:id="rId2"/>
    <sheet name="BS95" sheetId="3" r:id="rId3"/>
  </sheets>
  <externalReferences>
    <externalReference r:id="rId6"/>
    <externalReference r:id="rId7"/>
  </externalReferences>
  <definedNames>
    <definedName name="_xlnm.Print_Titles" localSheetId="0">'BS93'!$8:$8</definedName>
    <definedName name="_xlnm.Print_Titles" localSheetId="1">'BS94'!$8:$8</definedName>
    <definedName name="_xlnm.Print_Titles" localSheetId="2">'BS95'!$8:$8</definedName>
  </definedNames>
  <calcPr fullCalcOnLoad="1"/>
</workbook>
</file>

<file path=xl/sharedStrings.xml><?xml version="1.0" encoding="utf-8"?>
<sst xmlns="http://schemas.openxmlformats.org/spreadsheetml/2006/main" count="142" uniqueCount="84">
  <si>
    <t>STT</t>
  </si>
  <si>
    <t>I</t>
  </si>
  <si>
    <t>II</t>
  </si>
  <si>
    <t>III</t>
  </si>
  <si>
    <t>Chi đầu tư phát triển</t>
  </si>
  <si>
    <t>Chi thường xuyên</t>
  </si>
  <si>
    <t>Dự phòng</t>
  </si>
  <si>
    <t>A</t>
  </si>
  <si>
    <t>B</t>
  </si>
  <si>
    <t>Thu nội địa</t>
  </si>
  <si>
    <t>Thuế sử dụng đất nông nghiệp</t>
  </si>
  <si>
    <t>Các khoản thu về nhà, đất</t>
  </si>
  <si>
    <t>Thu khác ngân sách</t>
  </si>
  <si>
    <t>TỔNG CHI NGÂN SÁCH QUẬN</t>
  </si>
  <si>
    <t>Tổng chi cân đối ngân sách quận</t>
  </si>
  <si>
    <t>Chi giáo dục, đào tạo và dạy nghề</t>
  </si>
  <si>
    <t>Chi khoa học công nghệ</t>
  </si>
  <si>
    <t>Chi sự nghiệp kinh tế</t>
  </si>
  <si>
    <t>Dự toán</t>
  </si>
  <si>
    <t>Thu từ hoạt động xổ số kiến thiết</t>
  </si>
  <si>
    <t>Thuế thu nhập cá nhân</t>
  </si>
  <si>
    <t>Thuế sử dụng đất phi nông nghiệp</t>
  </si>
  <si>
    <t>Thuế bảo vệ môi trường</t>
  </si>
  <si>
    <t>Chi sự nghiệp bảo vệ môi trường</t>
  </si>
  <si>
    <t>1</t>
  </si>
  <si>
    <t>2</t>
  </si>
  <si>
    <t>4</t>
  </si>
  <si>
    <t>ĐV: Triệu đồng</t>
  </si>
  <si>
    <t>Thu chuyển nguồn từ năm trước chuyển sang</t>
  </si>
  <si>
    <t>Ngân sách quận bao gồm ngân sách cấp quận và ngân sách phường, không tính ghi thu ghi chi.</t>
  </si>
  <si>
    <t>Thực hiện</t>
  </si>
  <si>
    <t>năm</t>
  </si>
  <si>
    <t>Cùng kỳ</t>
  </si>
  <si>
    <t>năm trước</t>
  </si>
  <si>
    <t>Nội dung</t>
  </si>
  <si>
    <t>3=2/1</t>
  </si>
  <si>
    <t>So sánh (%)</t>
  </si>
  <si>
    <t>Thu từ khu vực doanh nghiệp nhà nước</t>
  </si>
  <si>
    <t>Thu từ khu vực doanh nghiệp có vốn đầu tư nước ngoài</t>
  </si>
  <si>
    <t>Thu từ khu vực kinh tế ngoài quốc doanh</t>
  </si>
  <si>
    <t>Thu tiền sử dụng đất</t>
  </si>
  <si>
    <t>Thu quỹ đất công ích, hoa lợi công sản khác</t>
  </si>
  <si>
    <t>Thu viện trợ</t>
  </si>
  <si>
    <t>THU NS QUẬN ĐƯỢC HƯỞNG THEO PHÂN CẤP</t>
  </si>
  <si>
    <t>Từ các khoản thu phân chia</t>
  </si>
  <si>
    <t>Các khoản thu hưởng 100%</t>
  </si>
  <si>
    <t>CHI CÂN ĐỐI NGÂN SÁCH QUẬN</t>
  </si>
  <si>
    <t>Chi đầu tư cho các dự án</t>
  </si>
  <si>
    <t>Chi đầu tư phát triển khác</t>
  </si>
  <si>
    <t>Trong đó:</t>
  </si>
  <si>
    <t>Chi y tế, dân số và gia đình</t>
  </si>
  <si>
    <t>Chi sự nghiệp văn hóa thông tin</t>
  </si>
  <si>
    <t>Chi sự nghiệp phát thanh, truyền hình</t>
  </si>
  <si>
    <t>Chi sự nghiệp thể dục thể thao</t>
  </si>
  <si>
    <t>Chi bảo đảm xã hội</t>
  </si>
  <si>
    <t>(Kèm theo Thông báo số                  /TB-UBND ngày           tháng 4 năm 2017 của Ủy ban nhân dân Quận 8)</t>
  </si>
  <si>
    <t>Biểu số 93/CK-NSNN</t>
  </si>
  <si>
    <t>Dự toán năm</t>
  </si>
  <si>
    <t>So sánh thực hiện với (%)</t>
  </si>
  <si>
    <t>Thu cân đối NSNN</t>
  </si>
  <si>
    <t>Lệ phí trước bạ</t>
  </si>
  <si>
    <t>Thu phí, lệ phí</t>
  </si>
  <si>
    <t>Tiền cho thuê đất, thuê mặt nước</t>
  </si>
  <si>
    <t>Tiền cho thuê và tiền bán nhà ở thuộc sở hữu nhà nước</t>
  </si>
  <si>
    <t>Biểu số 95/CK-NSNN</t>
  </si>
  <si>
    <t>Biểu số 94/CK-NSNN</t>
  </si>
  <si>
    <t>Chi hoạt động của cơ quan quản lý hành chính, đảng, đoàn thể</t>
  </si>
  <si>
    <t>Dự phòng ngân sách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</si>
  <si>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</si>
  <si>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</si>
  <si>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</si>
  <si>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</si>
  <si>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Chi từ nguồn bổ sung có mục tiêu từ NS cấp trên</t>
  </si>
  <si>
    <t xml:space="preserve">TỔNG NGUỒN THU NSNN TRÊN ĐỊA BÀN </t>
  </si>
  <si>
    <t xml:space="preserve">TỔNG THU NSNN TRÊN ĐỊA BÀN </t>
  </si>
  <si>
    <t xml:space="preserve">quý </t>
  </si>
  <si>
    <t>quý</t>
  </si>
  <si>
    <t xml:space="preserve">     ỦY BAN NHÂN DÂN QUẬN 8</t>
  </si>
  <si>
    <t>PHÒNG TÀI CHÍNH - KẾ HOẠCH</t>
  </si>
  <si>
    <t xml:space="preserve">                   _______</t>
  </si>
  <si>
    <t xml:space="preserve">                   __________</t>
  </si>
  <si>
    <t>CÂN ĐỐI NGÂN SÁCH QUẬN QUÝ I NĂM 2021</t>
  </si>
  <si>
    <t>THỰC HIỆN THU NGÂN SÁCH NHÀ NƯỚC QUÝ I NĂM 2021</t>
  </si>
  <si>
    <t>THỰC HIỆN CHI NGÂN SÁCH QUẬN QUÝ I NĂM 2021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</si>
</sst>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[Red]\(#,##0.0\)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#,##0.0000"/>
    <numFmt numFmtId="180" formatCode="#,##0.00000"/>
    <numFmt numFmtId="181" formatCode="_-* #,##0\ &quot;Ft&quot;_-;\-* #,##0\ &quot;Ft&quot;_-;_-* &quot;-&quot;\ &quot;Ft&quot;_-;_-@_-"/>
    <numFmt numFmtId="182" formatCode="_-* #,##0\ _F_t_-;\-* #,##0\ _F_t_-;_-* &quot;-&quot;\ _F_t_-;_-@_-"/>
    <numFmt numFmtId="183" formatCode="_-* #,##0.00\ &quot;Ft&quot;_-;\-* #,##0.00\ &quot;Ft&quot;_-;_-* &quot;-&quot;??\ &quot;Ft&quot;_-;_-@_-"/>
    <numFmt numFmtId="184" formatCode="_-* #,##0.00\ _F_t_-;\-* #,##0.00\ _F_t_-;_-* &quot;-&quot;??\ _F_t_-;_-@_-"/>
    <numFmt numFmtId="185" formatCode="0.000"/>
    <numFmt numFmtId="186" formatCode="_-* #,##0\ _F_t_-;\-* #,##0\ _F_t_-;_-* &quot;-&quot;??\ _F_t_-;_-@_-"/>
    <numFmt numFmtId="187" formatCode="#,##0;[Red]#,##0"/>
    <numFmt numFmtId="188" formatCode="_-* #,##0.000\ _F_t_-;\-* #,##0.000\ _F_t_-;_-* &quot;-&quot;??\ _F_t_-;_-@_-"/>
    <numFmt numFmtId="189" formatCode="#,##0.0;[Red]\-#,##0.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VNI-Times"/>
      <family val="0"/>
    </font>
    <font>
      <sz val="9"/>
      <name val="Times New Roman"/>
      <family val="1"/>
    </font>
    <font>
      <sz val="10"/>
      <name val="Arial"/>
      <family val="2"/>
    </font>
    <font>
      <b/>
      <sz val="10"/>
      <color indexed="1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3" fontId="6" fillId="0" borderId="10" xfId="43" applyNumberFormat="1" applyFont="1" applyFill="1" applyBorder="1" applyAlignment="1">
      <alignment/>
    </xf>
    <xf numFmtId="3" fontId="6" fillId="0" borderId="0" xfId="43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43" applyNumberFormat="1" applyFont="1" applyFill="1" applyBorder="1" applyAlignment="1">
      <alignment/>
    </xf>
    <xf numFmtId="3" fontId="6" fillId="0" borderId="11" xfId="43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9" fillId="0" borderId="12" xfId="43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3" fontId="9" fillId="0" borderId="11" xfId="43" applyNumberFormat="1" applyFont="1" applyFill="1" applyBorder="1" applyAlignment="1">
      <alignment/>
    </xf>
    <xf numFmtId="3" fontId="16" fillId="0" borderId="11" xfId="43" applyNumberFormat="1" applyFont="1" applyFill="1" applyBorder="1" applyAlignment="1">
      <alignment/>
    </xf>
    <xf numFmtId="3" fontId="9" fillId="0" borderId="10" xfId="43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9" fillId="0" borderId="21" xfId="0" applyFont="1" applyBorder="1" applyAlignment="1">
      <alignment/>
    </xf>
    <xf numFmtId="0" fontId="6" fillId="0" borderId="17" xfId="0" applyFont="1" applyBorder="1" applyAlignment="1">
      <alignment horizontal="centerContinuous"/>
    </xf>
    <xf numFmtId="0" fontId="6" fillId="0" borderId="13" xfId="0" applyFont="1" applyBorder="1" applyAlignment="1" quotePrefix="1">
      <alignment horizontal="centerContinuous"/>
    </xf>
    <xf numFmtId="4" fontId="9" fillId="0" borderId="12" xfId="43" applyNumberFormat="1" applyFont="1" applyFill="1" applyBorder="1" applyAlignment="1">
      <alignment/>
    </xf>
    <xf numFmtId="4" fontId="9" fillId="0" borderId="11" xfId="43" applyNumberFormat="1" applyFont="1" applyFill="1" applyBorder="1" applyAlignment="1">
      <alignment/>
    </xf>
    <xf numFmtId="4" fontId="6" fillId="0" borderId="12" xfId="43" applyNumberFormat="1" applyFont="1" applyFill="1" applyBorder="1" applyAlignment="1">
      <alignment/>
    </xf>
    <xf numFmtId="4" fontId="9" fillId="0" borderId="10" xfId="43" applyNumberFormat="1" applyFont="1" applyFill="1" applyBorder="1" applyAlignment="1">
      <alignment/>
    </xf>
    <xf numFmtId="4" fontId="6" fillId="0" borderId="11" xfId="43" applyNumberFormat="1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3" fontId="9" fillId="0" borderId="22" xfId="43" applyNumberFormat="1" applyFont="1" applyFill="1" applyBorder="1" applyAlignment="1">
      <alignment/>
    </xf>
    <xf numFmtId="4" fontId="9" fillId="0" borderId="22" xfId="43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43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" fontId="10" fillId="0" borderId="12" xfId="43" applyNumberFormat="1" applyFont="1" applyFill="1" applyBorder="1" applyAlignment="1">
      <alignment/>
    </xf>
    <xf numFmtId="0" fontId="14" fillId="0" borderId="11" xfId="0" applyFont="1" applyBorder="1" applyAlignment="1">
      <alignment horizontal="center"/>
    </xf>
    <xf numFmtId="3" fontId="14" fillId="0" borderId="11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0" fillId="0" borderId="11" xfId="43" applyNumberFormat="1" applyFont="1" applyFill="1" applyBorder="1" applyAlignment="1">
      <alignment/>
    </xf>
    <xf numFmtId="38" fontId="6" fillId="0" borderId="0" xfId="42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/>
    </xf>
    <xf numFmtId="3" fontId="6" fillId="0" borderId="12" xfId="43" applyNumberFormat="1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Continuous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Continuous"/>
    </xf>
    <xf numFmtId="0" fontId="10" fillId="0" borderId="0" xfId="0" applyFont="1" applyAlignment="1">
      <alignment horizontal="right"/>
    </xf>
    <xf numFmtId="0" fontId="6" fillId="0" borderId="11" xfId="0" applyFont="1" applyBorder="1" applyAlignment="1">
      <alignment vertical="top" wrapText="1"/>
    </xf>
    <xf numFmtId="3" fontId="6" fillId="0" borderId="11" xfId="0" applyNumberFormat="1" applyFont="1" applyBorder="1" applyAlignment="1">
      <alignment vertical="top"/>
    </xf>
    <xf numFmtId="4" fontId="6" fillId="0" borderId="11" xfId="43" applyNumberFormat="1" applyFont="1" applyFill="1" applyBorder="1" applyAlignment="1">
      <alignment vertical="top"/>
    </xf>
    <xf numFmtId="0" fontId="17" fillId="0" borderId="11" xfId="0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3" fontId="9" fillId="0" borderId="11" xfId="0" applyNumberFormat="1" applyFont="1" applyBorder="1" applyAlignment="1">
      <alignment vertical="top"/>
    </xf>
    <xf numFmtId="3" fontId="6" fillId="0" borderId="11" xfId="43" applyNumberFormat="1" applyFont="1" applyFill="1" applyBorder="1" applyAlignment="1">
      <alignment vertical="top"/>
    </xf>
    <xf numFmtId="3" fontId="52" fillId="0" borderId="11" xfId="0" applyNumberFormat="1" applyFont="1" applyBorder="1" applyAlignment="1">
      <alignment/>
    </xf>
    <xf numFmtId="178" fontId="6" fillId="0" borderId="0" xfId="0" applyNumberFormat="1" applyFont="1" applyAlignment="1" quotePrefix="1">
      <alignment/>
    </xf>
    <xf numFmtId="40" fontId="6" fillId="0" borderId="0" xfId="42" applyFont="1" applyAlignment="1">
      <alignment/>
    </xf>
    <xf numFmtId="4" fontId="14" fillId="0" borderId="0" xfId="0" applyNumberFormat="1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3" fontId="9" fillId="0" borderId="11" xfId="43" applyNumberFormat="1" applyFont="1" applyFill="1" applyBorder="1" applyAlignment="1">
      <alignment vertical="top"/>
    </xf>
    <xf numFmtId="4" fontId="9" fillId="0" borderId="11" xfId="43" applyNumberFormat="1" applyFont="1" applyFill="1" applyBorder="1" applyAlignment="1">
      <alignment vertical="top"/>
    </xf>
    <xf numFmtId="178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3 2" xfId="66"/>
    <cellStyle name="Normal 4" xfId="67"/>
    <cellStyle name="Normal 4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C-STC\BC-STC%202021\BC%20thu%20chi%20NS%202021\BC%20thu%20chi%20thang%20STC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C-STC\C&#244;ng%20khai%20NS\CK2020\CK%20NS%20Q1-2020\Cong%20khai%20NS%20Quy%201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</sheetNames>
    <sheetDataSet>
      <sheetData sheetId="0">
        <row r="11">
          <cell r="C11">
            <v>1158780000</v>
          </cell>
        </row>
        <row r="14">
          <cell r="B14">
            <v>26350000</v>
          </cell>
        </row>
        <row r="15">
          <cell r="B15">
            <v>673650000</v>
          </cell>
        </row>
        <row r="22">
          <cell r="B22">
            <v>230000000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93"/>
      <sheetName val="BS94"/>
      <sheetName val="BS95"/>
    </sheetNames>
    <sheetDataSet>
      <sheetData sheetId="0">
        <row r="12">
          <cell r="D12">
            <v>363883</v>
          </cell>
        </row>
        <row r="13">
          <cell r="D13">
            <v>308161</v>
          </cell>
        </row>
        <row r="14">
          <cell r="D14">
            <v>308161</v>
          </cell>
        </row>
        <row r="16">
          <cell r="D16">
            <v>55722</v>
          </cell>
        </row>
        <row r="17">
          <cell r="D17">
            <v>225019</v>
          </cell>
        </row>
        <row r="18">
          <cell r="D18">
            <v>225019</v>
          </cell>
        </row>
        <row r="19">
          <cell r="D19">
            <v>23116</v>
          </cell>
        </row>
        <row r="20">
          <cell r="D20">
            <v>201903</v>
          </cell>
        </row>
      </sheetData>
      <sheetData sheetId="1">
        <row r="12">
          <cell r="D12">
            <v>360124</v>
          </cell>
        </row>
        <row r="13">
          <cell r="D13">
            <v>360124</v>
          </cell>
        </row>
        <row r="14">
          <cell r="D14">
            <v>5589</v>
          </cell>
        </row>
        <row r="15">
          <cell r="D15">
            <v>1772</v>
          </cell>
        </row>
        <row r="16">
          <cell r="D16">
            <v>186668</v>
          </cell>
        </row>
        <row r="17">
          <cell r="D17">
            <v>53584</v>
          </cell>
        </row>
        <row r="18">
          <cell r="D18">
            <v>636</v>
          </cell>
        </row>
        <row r="19">
          <cell r="D19">
            <v>42840</v>
          </cell>
        </row>
        <row r="20">
          <cell r="D20">
            <v>28221</v>
          </cell>
        </row>
        <row r="21">
          <cell r="D21">
            <v>26049</v>
          </cell>
        </row>
        <row r="23">
          <cell r="D23">
            <v>891</v>
          </cell>
        </row>
        <row r="24">
          <cell r="D24">
            <v>21705</v>
          </cell>
        </row>
        <row r="25">
          <cell r="D25">
            <v>3453</v>
          </cell>
        </row>
        <row r="28">
          <cell r="D28">
            <v>14765</v>
          </cell>
        </row>
        <row r="31">
          <cell r="D31">
            <v>62353</v>
          </cell>
        </row>
        <row r="32">
          <cell r="D32">
            <v>33542</v>
          </cell>
        </row>
        <row r="33">
          <cell r="D33">
            <v>28811</v>
          </cell>
        </row>
      </sheetData>
      <sheetData sheetId="2">
        <row r="12">
          <cell r="D12">
            <v>225019</v>
          </cell>
        </row>
        <row r="13">
          <cell r="D13">
            <v>225019</v>
          </cell>
        </row>
        <row r="14">
          <cell r="D14">
            <v>23116</v>
          </cell>
        </row>
        <row r="15">
          <cell r="D15">
            <v>20116</v>
          </cell>
        </row>
        <row r="16">
          <cell r="D16">
            <v>3000</v>
          </cell>
        </row>
        <row r="17">
          <cell r="D17">
            <v>201903</v>
          </cell>
        </row>
        <row r="19">
          <cell r="D19">
            <v>69711</v>
          </cell>
        </row>
        <row r="21">
          <cell r="D21">
            <v>2293</v>
          </cell>
        </row>
        <row r="22">
          <cell r="D22">
            <v>1363</v>
          </cell>
        </row>
        <row r="24">
          <cell r="D24">
            <v>318</v>
          </cell>
        </row>
        <row r="25">
          <cell r="D25">
            <v>18311</v>
          </cell>
        </row>
        <row r="26">
          <cell r="D26">
            <v>16023</v>
          </cell>
        </row>
        <row r="27">
          <cell r="D27">
            <v>36924</v>
          </cell>
        </row>
        <row r="28">
          <cell r="D28">
            <v>44656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tabSelected="1" zoomScale="120" zoomScaleNormal="120" zoomScalePageLayoutView="0" workbookViewId="0" topLeftCell="A4">
      <selection activeCell="C21" sqref="C21"/>
    </sheetView>
  </sheetViews>
  <sheetFormatPr defaultColWidth="9.140625" defaultRowHeight="12.75"/>
  <cols>
    <col min="1" max="1" width="5.421875" style="1" customWidth="1"/>
    <col min="2" max="2" width="40.57421875" style="1" customWidth="1"/>
    <col min="3" max="3" width="9.7109375" style="1" customWidth="1"/>
    <col min="4" max="4" width="9.8515625" style="1" customWidth="1"/>
    <col min="5" max="5" width="10.8515625" style="1" customWidth="1"/>
    <col min="6" max="6" width="10.57421875" style="1" customWidth="1"/>
    <col min="7" max="7" width="10.421875" style="1" bestFit="1" customWidth="1"/>
    <col min="8" max="16384" width="9.140625" style="1" customWidth="1"/>
  </cols>
  <sheetData>
    <row r="1" spans="1:6" ht="12.75">
      <c r="A1" s="1" t="s">
        <v>77</v>
      </c>
      <c r="F1" s="2" t="s">
        <v>56</v>
      </c>
    </row>
    <row r="2" ht="12.75">
      <c r="A2" s="9" t="s">
        <v>78</v>
      </c>
    </row>
    <row r="3" ht="12.75">
      <c r="A3" s="9" t="s">
        <v>80</v>
      </c>
    </row>
    <row r="4" ht="12.75">
      <c r="A4" s="9"/>
    </row>
    <row r="5" spans="1:6" s="3" customFormat="1" ht="16.5">
      <c r="A5" s="101" t="s">
        <v>81</v>
      </c>
      <c r="B5" s="101"/>
      <c r="C5" s="101"/>
      <c r="D5" s="101"/>
      <c r="E5" s="101"/>
      <c r="F5" s="101"/>
    </row>
    <row r="6" spans="1:6" s="4" customFormat="1" ht="12.75" hidden="1">
      <c r="A6" s="102" t="s">
        <v>55</v>
      </c>
      <c r="B6" s="102"/>
      <c r="C6" s="102"/>
      <c r="D6" s="102"/>
      <c r="E6" s="102"/>
      <c r="F6" s="102"/>
    </row>
    <row r="7" ht="12.75">
      <c r="F7" s="79" t="s">
        <v>27</v>
      </c>
    </row>
    <row r="8" spans="1:6" ht="12.75">
      <c r="A8" s="70" t="s">
        <v>0</v>
      </c>
      <c r="B8" s="70" t="s">
        <v>34</v>
      </c>
      <c r="C8" s="71" t="s">
        <v>18</v>
      </c>
      <c r="D8" s="71" t="s">
        <v>30</v>
      </c>
      <c r="E8" s="72" t="s">
        <v>58</v>
      </c>
      <c r="F8" s="72"/>
    </row>
    <row r="9" spans="1:6" ht="12.75">
      <c r="A9" s="73"/>
      <c r="B9" s="74"/>
      <c r="C9" s="75" t="s">
        <v>31</v>
      </c>
      <c r="D9" s="75" t="s">
        <v>75</v>
      </c>
      <c r="E9" s="75" t="s">
        <v>57</v>
      </c>
      <c r="F9" s="75" t="s">
        <v>32</v>
      </c>
    </row>
    <row r="10" spans="1:6" ht="12.75">
      <c r="A10" s="76"/>
      <c r="B10" s="77"/>
      <c r="C10" s="78"/>
      <c r="D10" s="78"/>
      <c r="E10" s="78"/>
      <c r="F10" s="78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7" ht="12.75">
      <c r="A12" s="15" t="s">
        <v>7</v>
      </c>
      <c r="B12" s="36" t="s">
        <v>73</v>
      </c>
      <c r="C12" s="25">
        <f>C13+C16</f>
        <v>1158780</v>
      </c>
      <c r="D12" s="25">
        <f>D13+D16</f>
        <v>376330</v>
      </c>
      <c r="E12" s="39">
        <f>D12/C12*100</f>
        <v>32.47639759056939</v>
      </c>
      <c r="F12" s="39">
        <f>D12/'[2]BS93'!D12*100</f>
        <v>103.42060497467594</v>
      </c>
      <c r="G12" s="8"/>
    </row>
    <row r="13" spans="1:6" ht="12.75">
      <c r="A13" s="10" t="s">
        <v>1</v>
      </c>
      <c r="B13" s="31" t="s">
        <v>59</v>
      </c>
      <c r="C13" s="27">
        <f>SUM(C14:C15)</f>
        <v>1158780</v>
      </c>
      <c r="D13" s="27">
        <f>SUM(D14:D15)</f>
        <v>297955</v>
      </c>
      <c r="E13" s="39">
        <f>D13/C13*100</f>
        <v>25.712818654101728</v>
      </c>
      <c r="F13" s="39">
        <f>D13/'[2]BS93'!D13*100</f>
        <v>96.68809485950526</v>
      </c>
    </row>
    <row r="14" spans="1:6" ht="12.75">
      <c r="A14" s="11">
        <v>1</v>
      </c>
      <c r="B14" s="32" t="s">
        <v>9</v>
      </c>
      <c r="C14" s="13">
        <f>'[1]T3'!$C$11/1000</f>
        <v>1158780</v>
      </c>
      <c r="D14" s="13">
        <f>376330-78375</f>
        <v>297955</v>
      </c>
      <c r="E14" s="41">
        <f>D14/C14*100</f>
        <v>25.712818654101728</v>
      </c>
      <c r="F14" s="41">
        <f>D14/'[2]BS93'!D14*100</f>
        <v>96.68809485950526</v>
      </c>
    </row>
    <row r="15" spans="1:6" ht="12.75">
      <c r="A15" s="11">
        <v>2</v>
      </c>
      <c r="B15" s="32" t="s">
        <v>42</v>
      </c>
      <c r="C15" s="13"/>
      <c r="D15" s="13"/>
      <c r="E15" s="41"/>
      <c r="F15" s="39"/>
    </row>
    <row r="16" spans="1:6" ht="12.75">
      <c r="A16" s="10" t="s">
        <v>2</v>
      </c>
      <c r="B16" s="31" t="s">
        <v>28</v>
      </c>
      <c r="C16" s="28"/>
      <c r="D16" s="28">
        <f>78375</f>
        <v>78375</v>
      </c>
      <c r="E16" s="39"/>
      <c r="F16" s="39">
        <f>D16/'[2]BS93'!D16*100</f>
        <v>140.6536018089803</v>
      </c>
    </row>
    <row r="17" spans="1:8" ht="12.75">
      <c r="A17" s="10" t="s">
        <v>8</v>
      </c>
      <c r="B17" s="30" t="s">
        <v>13</v>
      </c>
      <c r="C17" s="27">
        <f>SUM(C18,C22,C25)</f>
        <v>1158780</v>
      </c>
      <c r="D17" s="27">
        <f>SUM(D18,D22,D25)</f>
        <v>222558</v>
      </c>
      <c r="E17" s="39">
        <f>D17/C17*100</f>
        <v>19.206234142805364</v>
      </c>
      <c r="F17" s="39">
        <f>D17/'[2]BS93'!D17*100</f>
        <v>98.9063145778801</v>
      </c>
      <c r="G17" s="8"/>
      <c r="H17" s="65"/>
    </row>
    <row r="18" spans="1:7" ht="12.75">
      <c r="A18" s="10" t="s">
        <v>1</v>
      </c>
      <c r="B18" s="30" t="s">
        <v>14</v>
      </c>
      <c r="C18" s="27">
        <f>SUM(C19:C21)</f>
        <v>1158780</v>
      </c>
      <c r="D18" s="27">
        <f>SUM(D19:D21)</f>
        <v>222558</v>
      </c>
      <c r="E18" s="39">
        <f>D18/C18*100</f>
        <v>19.206234142805364</v>
      </c>
      <c r="F18" s="39">
        <f>D18/'[2]BS93'!D18*100</f>
        <v>98.9063145778801</v>
      </c>
      <c r="G18" s="5"/>
    </row>
    <row r="19" spans="1:7" ht="12.75">
      <c r="A19" s="11">
        <v>1</v>
      </c>
      <c r="B19" s="32" t="s">
        <v>4</v>
      </c>
      <c r="C19" s="12"/>
      <c r="D19" s="12">
        <f>15662</f>
        <v>15662</v>
      </c>
      <c r="E19" s="41"/>
      <c r="F19" s="41">
        <f>D19/'[2]BS93'!D19*100</f>
        <v>67.75393666724347</v>
      </c>
      <c r="G19" s="5"/>
    </row>
    <row r="20" spans="1:7" ht="12.75">
      <c r="A20" s="11">
        <v>2</v>
      </c>
      <c r="B20" s="32" t="s">
        <v>5</v>
      </c>
      <c r="C20" s="12">
        <f>1158780-23630</f>
        <v>1135150</v>
      </c>
      <c r="D20" s="12">
        <f>206896</f>
        <v>206896</v>
      </c>
      <c r="E20" s="41">
        <f>D20/C20*100</f>
        <v>18.22631370303484</v>
      </c>
      <c r="F20" s="41">
        <f>D20/'[2]BS93'!D20*100</f>
        <v>102.47296969336762</v>
      </c>
      <c r="G20" s="90"/>
    </row>
    <row r="21" spans="1:7" ht="12.75">
      <c r="A21" s="11">
        <v>3</v>
      </c>
      <c r="B21" s="32" t="s">
        <v>6</v>
      </c>
      <c r="C21" s="12">
        <f>23630</f>
        <v>23630</v>
      </c>
      <c r="D21" s="12"/>
      <c r="E21" s="41">
        <f>D21/C21*100</f>
        <v>0</v>
      </c>
      <c r="F21" s="41"/>
      <c r="G21" s="5"/>
    </row>
    <row r="22" spans="1:7" ht="12.75">
      <c r="A22" s="19" t="s">
        <v>2</v>
      </c>
      <c r="B22" s="69" t="s">
        <v>72</v>
      </c>
      <c r="C22" s="29"/>
      <c r="D22" s="29"/>
      <c r="E22" s="42"/>
      <c r="F22" s="42">
        <f>D22/496*100</f>
        <v>0</v>
      </c>
      <c r="G22" s="5"/>
    </row>
    <row r="23" spans="1:7" ht="12.75" hidden="1">
      <c r="A23" s="66"/>
      <c r="B23" s="67"/>
      <c r="C23" s="68"/>
      <c r="D23" s="68"/>
      <c r="E23" s="41"/>
      <c r="F23" s="41"/>
      <c r="G23" s="5"/>
    </row>
    <row r="24" spans="1:7" ht="12.75" hidden="1">
      <c r="A24" s="11"/>
      <c r="B24" s="32"/>
      <c r="C24" s="12"/>
      <c r="D24" s="12"/>
      <c r="E24" s="41"/>
      <c r="F24" s="41"/>
      <c r="G24" s="5"/>
    </row>
    <row r="25" spans="1:6" ht="12.75" hidden="1">
      <c r="A25" s="19"/>
      <c r="B25" s="33"/>
      <c r="C25" s="29"/>
      <c r="D25" s="29"/>
      <c r="E25" s="42"/>
      <c r="F25" s="42"/>
    </row>
    <row r="26" spans="1:6" ht="12" customHeight="1" hidden="1">
      <c r="A26" s="100"/>
      <c r="B26" s="100"/>
      <c r="C26" s="100"/>
      <c r="D26" s="18"/>
      <c r="E26" s="18"/>
      <c r="F26" s="18"/>
    </row>
    <row r="27" spans="1:6" ht="12.75">
      <c r="A27" s="1" t="s">
        <v>29</v>
      </c>
      <c r="B27" s="7"/>
      <c r="C27" s="7"/>
      <c r="D27" s="7"/>
      <c r="E27" s="7"/>
      <c r="F27" s="7"/>
    </row>
    <row r="28" s="94" customFormat="1" ht="12.75"/>
    <row r="29" ht="12.75">
      <c r="A29" s="93"/>
    </row>
    <row r="32" ht="12.75">
      <c r="D32" s="64"/>
    </row>
    <row r="33" ht="12.75">
      <c r="D33" s="64"/>
    </row>
    <row r="34" ht="12.75">
      <c r="D34" s="64"/>
    </row>
    <row r="35" ht="12.75">
      <c r="D35" s="64"/>
    </row>
    <row r="36" ht="12.75">
      <c r="D36" s="64"/>
    </row>
    <row r="37" ht="12.75">
      <c r="D37" s="64"/>
    </row>
    <row r="38" ht="12.75">
      <c r="D38" s="64"/>
    </row>
    <row r="39" ht="12.75">
      <c r="D39" s="64"/>
    </row>
    <row r="40" ht="12.75">
      <c r="D40" s="64"/>
    </row>
  </sheetData>
  <sheetProtection/>
  <mergeCells count="3">
    <mergeCell ref="A26:C26"/>
    <mergeCell ref="A5:F5"/>
    <mergeCell ref="A6:F6"/>
  </mergeCells>
  <printOptions/>
  <pageMargins left="1" right="0.5" top="1" bottom="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zoomScale="120" zoomScaleNormal="120" zoomScalePageLayoutView="0" workbookViewId="0" topLeftCell="A13">
      <selection activeCell="A7" sqref="A7"/>
    </sheetView>
  </sheetViews>
  <sheetFormatPr defaultColWidth="9.140625" defaultRowHeight="12.75"/>
  <cols>
    <col min="1" max="1" width="5.421875" style="1" customWidth="1"/>
    <col min="2" max="2" width="44.28125" style="1" customWidth="1"/>
    <col min="3" max="5" width="9.421875" style="1" customWidth="1"/>
    <col min="6" max="6" width="11.28125" style="1" customWidth="1"/>
    <col min="7" max="7" width="10.140625" style="1" bestFit="1" customWidth="1"/>
    <col min="8" max="16384" width="9.140625" style="1" customWidth="1"/>
  </cols>
  <sheetData>
    <row r="1" spans="1:6" ht="12.75">
      <c r="A1" s="1" t="s">
        <v>77</v>
      </c>
      <c r="F1" s="2" t="s">
        <v>65</v>
      </c>
    </row>
    <row r="2" ht="12.75">
      <c r="A2" s="9" t="s">
        <v>78</v>
      </c>
    </row>
    <row r="3" ht="12.75">
      <c r="A3" s="9" t="s">
        <v>79</v>
      </c>
    </row>
    <row r="4" ht="12.75">
      <c r="A4" s="9"/>
    </row>
    <row r="5" spans="1:6" s="3" customFormat="1" ht="16.5">
      <c r="A5" s="101" t="s">
        <v>82</v>
      </c>
      <c r="B5" s="101"/>
      <c r="C5" s="101"/>
      <c r="D5" s="101"/>
      <c r="E5" s="101"/>
      <c r="F5" s="101"/>
    </row>
    <row r="6" spans="1:6" s="4" customFormat="1" ht="12.75" hidden="1">
      <c r="A6" s="102" t="s">
        <v>55</v>
      </c>
      <c r="B6" s="102"/>
      <c r="C6" s="102"/>
      <c r="D6" s="102"/>
      <c r="E6" s="102"/>
      <c r="F6" s="102"/>
    </row>
    <row r="7" ht="12.75">
      <c r="F7" s="79" t="s">
        <v>27</v>
      </c>
    </row>
    <row r="8" spans="1:6" ht="12.75">
      <c r="A8" s="70" t="s">
        <v>0</v>
      </c>
      <c r="B8" s="70" t="s">
        <v>34</v>
      </c>
      <c r="C8" s="71" t="s">
        <v>18</v>
      </c>
      <c r="D8" s="71" t="s">
        <v>30</v>
      </c>
      <c r="E8" s="72" t="s">
        <v>58</v>
      </c>
      <c r="F8" s="72"/>
    </row>
    <row r="9" spans="1:6" ht="12.75">
      <c r="A9" s="73"/>
      <c r="B9" s="74"/>
      <c r="C9" s="75" t="s">
        <v>31</v>
      </c>
      <c r="D9" s="75" t="s">
        <v>75</v>
      </c>
      <c r="E9" s="75" t="s">
        <v>18</v>
      </c>
      <c r="F9" s="75" t="s">
        <v>32</v>
      </c>
    </row>
    <row r="10" spans="1:6" ht="12.75">
      <c r="A10" s="76"/>
      <c r="B10" s="77"/>
      <c r="C10" s="78"/>
      <c r="D10" s="78"/>
      <c r="E10" s="78" t="s">
        <v>31</v>
      </c>
      <c r="F10" s="78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6" ht="12.75">
      <c r="A12" s="44" t="s">
        <v>7</v>
      </c>
      <c r="B12" s="45" t="s">
        <v>74</v>
      </c>
      <c r="C12" s="46">
        <f>SUM(C13,C30)</f>
        <v>1509000</v>
      </c>
      <c r="D12" s="46">
        <f>SUM(D13,D30)</f>
        <v>492582</v>
      </c>
      <c r="E12" s="47">
        <f aca="true" t="shared" si="0" ref="E12:E17">D12/C12*100</f>
        <v>32.64294234592445</v>
      </c>
      <c r="F12" s="47">
        <f>D12/'[2]BS94'!D12*100</f>
        <v>136.78121980206816</v>
      </c>
    </row>
    <row r="13" spans="1:7" ht="12.75">
      <c r="A13" s="10" t="s">
        <v>1</v>
      </c>
      <c r="B13" s="31" t="s">
        <v>9</v>
      </c>
      <c r="C13" s="55">
        <f>SUM(C14:C21,C27:C29)</f>
        <v>1509000</v>
      </c>
      <c r="D13" s="55">
        <f>SUM(D14:D21,D27:D29)</f>
        <v>492582</v>
      </c>
      <c r="E13" s="39">
        <f t="shared" si="0"/>
        <v>32.64294234592445</v>
      </c>
      <c r="F13" s="40">
        <f>D13/'[2]BS94'!D13*100</f>
        <v>136.78121980206816</v>
      </c>
      <c r="G13" s="8"/>
    </row>
    <row r="14" spans="1:7" ht="12.75">
      <c r="A14" s="11">
        <v>1</v>
      </c>
      <c r="B14" s="48" t="s">
        <v>37</v>
      </c>
      <c r="C14" s="53">
        <f>'[1]T3'!$B$14/2/1000</f>
        <v>13175</v>
      </c>
      <c r="D14" s="89">
        <f>8470-1432</f>
        <v>7038</v>
      </c>
      <c r="E14" s="41">
        <f t="shared" si="0"/>
        <v>53.41935483870968</v>
      </c>
      <c r="F14" s="43">
        <f>D14/'[2]BS94'!D14*100</f>
        <v>125.92592592592592</v>
      </c>
      <c r="G14" s="8"/>
    </row>
    <row r="15" spans="1:7" ht="12.75">
      <c r="A15" s="11">
        <v>2</v>
      </c>
      <c r="B15" s="48" t="s">
        <v>38</v>
      </c>
      <c r="C15" s="53">
        <f>'[1]T3'!$B$14/2/1000</f>
        <v>13175</v>
      </c>
      <c r="D15" s="53">
        <f>1432</f>
        <v>1432</v>
      </c>
      <c r="E15" s="41">
        <f t="shared" si="0"/>
        <v>10.869070208728653</v>
      </c>
      <c r="F15" s="43">
        <f>D15/'[2]BS94'!D15*100</f>
        <v>80.81264108352144</v>
      </c>
      <c r="G15" s="8"/>
    </row>
    <row r="16" spans="1:7" ht="12.75">
      <c r="A16" s="11">
        <v>3</v>
      </c>
      <c r="B16" s="48" t="s">
        <v>39</v>
      </c>
      <c r="C16" s="53">
        <f>'[1]T3'!$B$15/1000</f>
        <v>673650</v>
      </c>
      <c r="D16" s="53">
        <f>186799</f>
        <v>186799</v>
      </c>
      <c r="E16" s="41">
        <f t="shared" si="0"/>
        <v>27.72938469531656</v>
      </c>
      <c r="F16" s="43">
        <f>D16/'[2]BS94'!D16*100</f>
        <v>100.07017807015663</v>
      </c>
      <c r="G16" s="8"/>
    </row>
    <row r="17" spans="1:7" ht="12.75">
      <c r="A17" s="11">
        <v>4</v>
      </c>
      <c r="B17" s="48" t="s">
        <v>20</v>
      </c>
      <c r="C17" s="53">
        <f>'[1]T3'!$B$22/1000</f>
        <v>230000</v>
      </c>
      <c r="D17" s="53">
        <f>57333</f>
        <v>57333</v>
      </c>
      <c r="E17" s="41">
        <f t="shared" si="0"/>
        <v>24.927391304347825</v>
      </c>
      <c r="F17" s="43">
        <f>D17/'[2]BS94'!D17*100</f>
        <v>106.99649148999701</v>
      </c>
      <c r="G17" s="8"/>
    </row>
    <row r="18" spans="1:7" ht="12.75">
      <c r="A18" s="11">
        <v>5</v>
      </c>
      <c r="B18" s="48" t="s">
        <v>22</v>
      </c>
      <c r="C18" s="53">
        <f>1000</f>
        <v>1000</v>
      </c>
      <c r="D18" s="53">
        <f>117</f>
        <v>117</v>
      </c>
      <c r="E18" s="41">
        <f>D18/C18*100</f>
        <v>11.700000000000001</v>
      </c>
      <c r="F18" s="43">
        <f>D18/'[2]BS94'!D18*100</f>
        <v>18.39622641509434</v>
      </c>
      <c r="G18" s="8"/>
    </row>
    <row r="19" spans="1:7" ht="12.75">
      <c r="A19" s="11">
        <v>6</v>
      </c>
      <c r="B19" s="48" t="s">
        <v>60</v>
      </c>
      <c r="C19" s="53">
        <f>178000</f>
        <v>178000</v>
      </c>
      <c r="D19" s="53">
        <f>47762</f>
        <v>47762</v>
      </c>
      <c r="E19" s="41">
        <f>D19/C19*100</f>
        <v>26.832584269662924</v>
      </c>
      <c r="F19" s="43">
        <f>D19/'[2]BS94'!D19*100</f>
        <v>111.48926237161531</v>
      </c>
      <c r="G19" s="8"/>
    </row>
    <row r="20" spans="1:7" ht="12.75">
      <c r="A20" s="11">
        <v>7</v>
      </c>
      <c r="B20" s="48" t="s">
        <v>61</v>
      </c>
      <c r="C20" s="53">
        <f>55582+16418</f>
        <v>72000</v>
      </c>
      <c r="D20" s="53">
        <f>12672+15035</f>
        <v>27707</v>
      </c>
      <c r="E20" s="41">
        <f>D20/C20*100</f>
        <v>38.481944444444444</v>
      </c>
      <c r="F20" s="43">
        <f>D20/'[2]BS94'!D20*100</f>
        <v>98.17866128060663</v>
      </c>
      <c r="G20" s="8"/>
    </row>
    <row r="21" spans="1:7" ht="12.75">
      <c r="A21" s="11">
        <v>8</v>
      </c>
      <c r="B21" s="48" t="s">
        <v>11</v>
      </c>
      <c r="C21" s="53">
        <f>SUM(C22:C26)</f>
        <v>268000</v>
      </c>
      <c r="D21" s="53">
        <f>SUM(D22:D26)</f>
        <v>146664</v>
      </c>
      <c r="E21" s="41">
        <f>D21/C21*100</f>
        <v>54.72537313432836</v>
      </c>
      <c r="F21" s="43">
        <f>D21/'[2]BS94'!D21*100</f>
        <v>563.0312104111482</v>
      </c>
      <c r="G21" s="8"/>
    </row>
    <row r="22" spans="1:7" ht="12.75" hidden="1">
      <c r="A22" s="11"/>
      <c r="B22" s="49" t="s">
        <v>10</v>
      </c>
      <c r="C22" s="54"/>
      <c r="D22" s="54"/>
      <c r="E22" s="58"/>
      <c r="F22" s="40" t="e">
        <f>D22/'[2]BS94'!D22*100</f>
        <v>#DIV/0!</v>
      </c>
      <c r="G22" s="8"/>
    </row>
    <row r="23" spans="1:7" ht="12.75">
      <c r="A23" s="11"/>
      <c r="B23" s="49" t="s">
        <v>21</v>
      </c>
      <c r="C23" s="54">
        <f>8000</f>
        <v>8000</v>
      </c>
      <c r="D23" s="54">
        <f>1533</f>
        <v>1533</v>
      </c>
      <c r="E23" s="58">
        <f>D23/C23*100</f>
        <v>19.162499999999998</v>
      </c>
      <c r="F23" s="63">
        <f>D23/'[2]BS94'!D23*100</f>
        <v>172.05387205387206</v>
      </c>
      <c r="G23" s="8"/>
    </row>
    <row r="24" spans="1:7" ht="12.75">
      <c r="A24" s="11"/>
      <c r="B24" s="50" t="s">
        <v>40</v>
      </c>
      <c r="C24" s="54">
        <f>200000</f>
        <v>200000</v>
      </c>
      <c r="D24" s="54">
        <f>48291</f>
        <v>48291</v>
      </c>
      <c r="E24" s="58">
        <f>D24/C24*100</f>
        <v>24.145500000000002</v>
      </c>
      <c r="F24" s="63">
        <f>D24/'[2]BS94'!D24*100</f>
        <v>222.48790601243954</v>
      </c>
      <c r="G24" s="8"/>
    </row>
    <row r="25" spans="1:7" ht="12.75">
      <c r="A25" s="11"/>
      <c r="B25" s="50" t="s">
        <v>62</v>
      </c>
      <c r="C25" s="54">
        <f>60000</f>
        <v>60000</v>
      </c>
      <c r="D25" s="54">
        <f>96840</f>
        <v>96840</v>
      </c>
      <c r="E25" s="58">
        <f>D25/C25*100</f>
        <v>161.4</v>
      </c>
      <c r="F25" s="63">
        <f>D25/'[2]BS94'!D25*100</f>
        <v>2804.5178105994787</v>
      </c>
      <c r="G25" s="8"/>
    </row>
    <row r="26" spans="1:7" ht="12.75" hidden="1">
      <c r="A26" s="11"/>
      <c r="B26" s="50" t="s">
        <v>63</v>
      </c>
      <c r="C26" s="54"/>
      <c r="D26" s="54"/>
      <c r="E26" s="41"/>
      <c r="F26" s="40" t="e">
        <f>D26/'[2]BS94'!D26*100</f>
        <v>#DIV/0!</v>
      </c>
      <c r="G26" s="8"/>
    </row>
    <row r="27" spans="1:7" ht="12.75">
      <c r="A27" s="11">
        <v>9</v>
      </c>
      <c r="B27" s="48" t="s">
        <v>19</v>
      </c>
      <c r="C27" s="53"/>
      <c r="D27" s="53"/>
      <c r="E27" s="41"/>
      <c r="F27" s="40"/>
      <c r="G27" s="8"/>
    </row>
    <row r="28" spans="1:7" ht="12.75">
      <c r="A28" s="21">
        <v>10</v>
      </c>
      <c r="B28" s="48" t="s">
        <v>12</v>
      </c>
      <c r="C28" s="53">
        <f>60000</f>
        <v>60000</v>
      </c>
      <c r="D28" s="53">
        <f>17730</f>
        <v>17730</v>
      </c>
      <c r="E28" s="41">
        <f>D28/C28*100</f>
        <v>29.549999999999997</v>
      </c>
      <c r="F28" s="43">
        <f>D28/'[2]BS94'!D28*100</f>
        <v>120.08127328140874</v>
      </c>
      <c r="G28" s="8"/>
    </row>
    <row r="29" spans="1:7" ht="12.75">
      <c r="A29" s="11">
        <v>11</v>
      </c>
      <c r="B29" s="48" t="s">
        <v>41</v>
      </c>
      <c r="C29" s="53"/>
      <c r="D29" s="53"/>
      <c r="E29" s="41"/>
      <c r="F29" s="43"/>
      <c r="G29" s="8"/>
    </row>
    <row r="30" spans="1:7" ht="12.75">
      <c r="A30" s="10" t="s">
        <v>2</v>
      </c>
      <c r="B30" s="31" t="s">
        <v>42</v>
      </c>
      <c r="C30" s="55"/>
      <c r="D30" s="55"/>
      <c r="E30" s="39"/>
      <c r="F30" s="43"/>
      <c r="G30" s="8"/>
    </row>
    <row r="31" spans="1:7" ht="12.75">
      <c r="A31" s="10" t="s">
        <v>8</v>
      </c>
      <c r="B31" s="31" t="s">
        <v>43</v>
      </c>
      <c r="C31" s="27">
        <f>SUM(C32:C33)</f>
        <v>183412</v>
      </c>
      <c r="D31" s="27">
        <f>SUM(D32:D33)</f>
        <v>66213</v>
      </c>
      <c r="E31" s="39">
        <f>D31/C31*100</f>
        <v>36.10069133971605</v>
      </c>
      <c r="F31" s="40">
        <f>D31/'[2]BS94'!D31*100</f>
        <v>106.19056019758473</v>
      </c>
      <c r="G31" s="8"/>
    </row>
    <row r="32" spans="1:7" ht="12.75">
      <c r="A32" s="11">
        <v>1</v>
      </c>
      <c r="B32" s="48" t="s">
        <v>44</v>
      </c>
      <c r="C32" s="12">
        <f>80820+40122</f>
        <v>120942</v>
      </c>
      <c r="D32" s="12">
        <f>22137+11418+155</f>
        <v>33710</v>
      </c>
      <c r="E32" s="41">
        <f>D32/C32*100</f>
        <v>27.87286467893701</v>
      </c>
      <c r="F32" s="43">
        <f>D32/'[2]BS94'!D32*100</f>
        <v>100.50086458768112</v>
      </c>
      <c r="G32" s="5"/>
    </row>
    <row r="33" spans="1:7" ht="12.75">
      <c r="A33" s="14">
        <v>2</v>
      </c>
      <c r="B33" s="51" t="s">
        <v>45</v>
      </c>
      <c r="C33" s="6">
        <f>550+21360+8000+6837+16418+9305</f>
        <v>62470</v>
      </c>
      <c r="D33" s="6">
        <f>7+8852+1533+983+15035+6093</f>
        <v>32503</v>
      </c>
      <c r="E33" s="52">
        <f>D33/C33*100</f>
        <v>52.02977429165999</v>
      </c>
      <c r="F33" s="52">
        <f>D33/'[2]BS94'!D33*100</f>
        <v>112.81454999826454</v>
      </c>
      <c r="G33" s="5"/>
    </row>
    <row r="34" spans="1:6" s="57" customFormat="1" ht="12" customHeight="1" hidden="1">
      <c r="A34" s="56"/>
      <c r="B34" s="56"/>
      <c r="C34" s="56"/>
      <c r="D34" s="56"/>
      <c r="E34" s="56"/>
      <c r="F34" s="56"/>
    </row>
    <row r="35" spans="2:6" ht="12.75">
      <c r="B35" s="7"/>
      <c r="C35" s="7"/>
      <c r="D35" s="7"/>
      <c r="E35" s="7"/>
      <c r="F35" s="7"/>
    </row>
  </sheetData>
  <sheetProtection/>
  <mergeCells count="2">
    <mergeCell ref="A5:F5"/>
    <mergeCell ref="A6:F6"/>
  </mergeCells>
  <printOptions/>
  <pageMargins left="1" right="0.4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zoomScale="120" zoomScaleNormal="120" zoomScalePageLayoutView="0" workbookViewId="0" topLeftCell="A1">
      <selection activeCell="E15" sqref="E15"/>
    </sheetView>
  </sheetViews>
  <sheetFormatPr defaultColWidth="9.140625" defaultRowHeight="12.75"/>
  <cols>
    <col min="1" max="1" width="5.421875" style="1" customWidth="1"/>
    <col min="2" max="2" width="44.28125" style="1" customWidth="1"/>
    <col min="3" max="6" width="9.421875" style="1" customWidth="1"/>
    <col min="7" max="7" width="10.140625" style="1" hidden="1" customWidth="1"/>
    <col min="8" max="8" width="9.421875" style="1" hidden="1" customWidth="1"/>
    <col min="9" max="9" width="9.28125" style="1" bestFit="1" customWidth="1"/>
    <col min="10" max="16384" width="9.140625" style="1" customWidth="1"/>
  </cols>
  <sheetData>
    <row r="1" spans="1:6" ht="12.75">
      <c r="A1" s="1" t="s">
        <v>77</v>
      </c>
      <c r="F1" s="2" t="s">
        <v>64</v>
      </c>
    </row>
    <row r="2" ht="12.75">
      <c r="A2" s="9" t="s">
        <v>78</v>
      </c>
    </row>
    <row r="3" ht="12.75">
      <c r="A3" s="9" t="s">
        <v>79</v>
      </c>
    </row>
    <row r="5" spans="1:6" s="3" customFormat="1" ht="16.5">
      <c r="A5" s="101" t="s">
        <v>83</v>
      </c>
      <c r="B5" s="101"/>
      <c r="C5" s="101"/>
      <c r="D5" s="101"/>
      <c r="E5" s="101"/>
      <c r="F5" s="101"/>
    </row>
    <row r="6" spans="1:6" s="4" customFormat="1" ht="12.75" hidden="1">
      <c r="A6" s="102" t="s">
        <v>55</v>
      </c>
      <c r="B6" s="102"/>
      <c r="C6" s="102"/>
      <c r="D6" s="102"/>
      <c r="E6" s="102"/>
      <c r="F6" s="102"/>
    </row>
    <row r="7" ht="12.75">
      <c r="F7" s="79" t="s">
        <v>27</v>
      </c>
    </row>
    <row r="8" spans="1:6" ht="12.75">
      <c r="A8" s="20" t="s">
        <v>0</v>
      </c>
      <c r="B8" s="20" t="s">
        <v>34</v>
      </c>
      <c r="C8" s="35" t="s">
        <v>18</v>
      </c>
      <c r="D8" s="35" t="s">
        <v>30</v>
      </c>
      <c r="E8" s="17" t="s">
        <v>36</v>
      </c>
      <c r="F8" s="17"/>
    </row>
    <row r="9" spans="1:6" ht="12.75">
      <c r="A9" s="21"/>
      <c r="B9" s="22"/>
      <c r="C9" s="34" t="s">
        <v>31</v>
      </c>
      <c r="D9" s="34" t="s">
        <v>76</v>
      </c>
      <c r="E9" s="34" t="s">
        <v>18</v>
      </c>
      <c r="F9" s="34" t="s">
        <v>32</v>
      </c>
    </row>
    <row r="10" spans="1:6" ht="12.75">
      <c r="A10" s="23"/>
      <c r="B10" s="24"/>
      <c r="C10" s="37"/>
      <c r="D10" s="37"/>
      <c r="E10" s="37" t="s">
        <v>31</v>
      </c>
      <c r="F10" s="37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9" ht="12.75">
      <c r="A12" s="44"/>
      <c r="B12" s="45" t="s">
        <v>13</v>
      </c>
      <c r="C12" s="46">
        <f>SUM(C13,C30)</f>
        <v>1158780</v>
      </c>
      <c r="D12" s="46">
        <f>SUM(D13,D30)</f>
        <v>222558</v>
      </c>
      <c r="E12" s="47">
        <f>D12/C12*100</f>
        <v>19.206234142805364</v>
      </c>
      <c r="F12" s="47">
        <f>D12/'[2]BS95'!D12*100</f>
        <v>98.9063145778801</v>
      </c>
      <c r="I12" s="99">
        <f>100-F12</f>
        <v>1.0936854221199042</v>
      </c>
    </row>
    <row r="13" spans="1:6" ht="12.75">
      <c r="A13" s="10" t="s">
        <v>7</v>
      </c>
      <c r="B13" s="31" t="s">
        <v>46</v>
      </c>
      <c r="C13" s="27">
        <f>SUM(C14,C17,C29)</f>
        <v>1158780</v>
      </c>
      <c r="D13" s="27">
        <f>SUM(D14,D17,D29)</f>
        <v>222558</v>
      </c>
      <c r="E13" s="40">
        <f aca="true" t="shared" si="0" ref="E13:E29">D13/C13*100</f>
        <v>19.206234142805364</v>
      </c>
      <c r="F13" s="40">
        <f>D13/'[2]BS95'!D13*100</f>
        <v>98.9063145778801</v>
      </c>
    </row>
    <row r="14" spans="1:9" ht="12.75">
      <c r="A14" s="10" t="s">
        <v>1</v>
      </c>
      <c r="B14" s="31" t="s">
        <v>4</v>
      </c>
      <c r="C14" s="55">
        <f>SUM(C15:C16)</f>
        <v>0</v>
      </c>
      <c r="D14" s="55">
        <f>SUM(D15:D16)</f>
        <v>15662</v>
      </c>
      <c r="E14" s="40"/>
      <c r="F14" s="40">
        <f>D14/'[2]BS95'!D14*100</f>
        <v>67.75393666724347</v>
      </c>
      <c r="G14" s="65"/>
      <c r="I14" s="99">
        <f>100-F14</f>
        <v>32.246063332756535</v>
      </c>
    </row>
    <row r="15" spans="1:7" ht="12.75">
      <c r="A15" s="11">
        <v>1</v>
      </c>
      <c r="B15" s="48" t="s">
        <v>47</v>
      </c>
      <c r="C15" s="89">
        <f>'BS93'!C19</f>
        <v>0</v>
      </c>
      <c r="D15" s="89">
        <f>1530+11132</f>
        <v>12662</v>
      </c>
      <c r="E15" s="43"/>
      <c r="F15" s="43">
        <f>D15/'[2]BS95'!D15*100</f>
        <v>62.94491946709088</v>
      </c>
      <c r="G15" s="8"/>
    </row>
    <row r="16" spans="1:7" ht="12.75">
      <c r="A16" s="11">
        <v>2</v>
      </c>
      <c r="B16" s="48" t="s">
        <v>48</v>
      </c>
      <c r="C16" s="53"/>
      <c r="D16" s="53">
        <v>3000</v>
      </c>
      <c r="E16" s="40"/>
      <c r="F16" s="43">
        <f>D16/'[2]BS95'!D16*100</f>
        <v>100</v>
      </c>
      <c r="G16" s="8"/>
    </row>
    <row r="17" spans="1:8" ht="12.75">
      <c r="A17" s="10" t="s">
        <v>2</v>
      </c>
      <c r="B17" s="31" t="s">
        <v>5</v>
      </c>
      <c r="C17" s="55">
        <f>SUM(C19:C28)+57713+9610</f>
        <v>1135150</v>
      </c>
      <c r="D17" s="55">
        <f>SUM(D19:D28)+11045+1521</f>
        <v>206896</v>
      </c>
      <c r="E17" s="40">
        <f t="shared" si="0"/>
        <v>18.22631370303484</v>
      </c>
      <c r="F17" s="40">
        <f>D17/'[2]BS95'!D17*100</f>
        <v>102.47296969336762</v>
      </c>
      <c r="G17" s="8">
        <f>811300-23630</f>
        <v>787670</v>
      </c>
      <c r="H17" s="91">
        <f>811300-23630-1777</f>
        <v>785893</v>
      </c>
    </row>
    <row r="18" spans="1:8" s="62" customFormat="1" ht="12.75">
      <c r="A18" s="59"/>
      <c r="B18" s="83" t="s">
        <v>49</v>
      </c>
      <c r="C18" s="60"/>
      <c r="D18" s="60"/>
      <c r="E18" s="43"/>
      <c r="F18" s="43"/>
      <c r="G18" s="61">
        <f>811300-23630</f>
        <v>787670</v>
      </c>
      <c r="H18" s="92">
        <f>C17-H17</f>
        <v>349257</v>
      </c>
    </row>
    <row r="19" spans="1:7" ht="12.75">
      <c r="A19" s="84">
        <v>1</v>
      </c>
      <c r="B19" s="85" t="s">
        <v>15</v>
      </c>
      <c r="C19" s="53">
        <f>548067</f>
        <v>548067</v>
      </c>
      <c r="D19" s="81">
        <f>71592</f>
        <v>71592</v>
      </c>
      <c r="E19" s="82">
        <f t="shared" si="0"/>
        <v>13.062636502471413</v>
      </c>
      <c r="F19" s="43">
        <f>D19/'[2]BS95'!D19*100</f>
        <v>102.69828291087491</v>
      </c>
      <c r="G19" s="8">
        <f>G17-C17</f>
        <v>-347480</v>
      </c>
    </row>
    <row r="20" spans="1:7" ht="12.75">
      <c r="A20" s="84">
        <v>2</v>
      </c>
      <c r="B20" s="86" t="s">
        <v>16</v>
      </c>
      <c r="C20" s="53"/>
      <c r="D20" s="81"/>
      <c r="E20" s="82"/>
      <c r="F20" s="43"/>
      <c r="G20" s="8">
        <f>G19-144203</f>
        <v>-491683</v>
      </c>
    </row>
    <row r="21" spans="1:7" ht="12.75">
      <c r="A21" s="84">
        <v>3</v>
      </c>
      <c r="B21" s="85" t="s">
        <v>50</v>
      </c>
      <c r="C21" s="89">
        <f>50940</f>
        <v>50940</v>
      </c>
      <c r="D21" s="81">
        <f>10498</f>
        <v>10498</v>
      </c>
      <c r="E21" s="82">
        <f t="shared" si="0"/>
        <v>20.60855908912446</v>
      </c>
      <c r="F21" s="43">
        <f>D21/'[2]BS95'!D21*100</f>
        <v>457.82817269952034</v>
      </c>
      <c r="G21" s="8"/>
    </row>
    <row r="22" spans="1:7" ht="12.75">
      <c r="A22" s="84">
        <v>4</v>
      </c>
      <c r="B22" s="86" t="s">
        <v>51</v>
      </c>
      <c r="C22" s="53">
        <v>5054</v>
      </c>
      <c r="D22" s="81">
        <f>1468</f>
        <v>1468</v>
      </c>
      <c r="E22" s="82">
        <f t="shared" si="0"/>
        <v>29.046299960427387</v>
      </c>
      <c r="F22" s="43">
        <f>D22/'[2]BS95'!D22*100</f>
        <v>107.70359501100512</v>
      </c>
      <c r="G22" s="8"/>
    </row>
    <row r="23" spans="1:7" ht="12.75">
      <c r="A23" s="84">
        <v>5</v>
      </c>
      <c r="B23" s="85" t="s">
        <v>52</v>
      </c>
      <c r="C23" s="53"/>
      <c r="D23" s="81"/>
      <c r="E23" s="82"/>
      <c r="F23" s="43"/>
      <c r="G23" s="8"/>
    </row>
    <row r="24" spans="1:7" ht="12.75">
      <c r="A24" s="84">
        <v>6</v>
      </c>
      <c r="B24" s="85" t="s">
        <v>53</v>
      </c>
      <c r="C24" s="53">
        <v>2340</v>
      </c>
      <c r="D24" s="81">
        <f>210</f>
        <v>210</v>
      </c>
      <c r="E24" s="82">
        <f t="shared" si="0"/>
        <v>8.974358974358974</v>
      </c>
      <c r="F24" s="43">
        <f>D24/'[2]BS95'!D24*100</f>
        <v>66.0377358490566</v>
      </c>
      <c r="G24" s="8"/>
    </row>
    <row r="25" spans="1:7" ht="12.75">
      <c r="A25" s="84">
        <v>7</v>
      </c>
      <c r="B25" s="85" t="s">
        <v>23</v>
      </c>
      <c r="C25" s="53">
        <v>67653</v>
      </c>
      <c r="D25" s="81">
        <f>11672</f>
        <v>11672</v>
      </c>
      <c r="E25" s="82">
        <f t="shared" si="0"/>
        <v>17.252745628427416</v>
      </c>
      <c r="F25" s="43">
        <f>D25/'[2]BS95'!D25*100</f>
        <v>63.743105237289065</v>
      </c>
      <c r="G25" s="8"/>
    </row>
    <row r="26" spans="1:7" ht="12.75">
      <c r="A26" s="84">
        <v>8</v>
      </c>
      <c r="B26" s="85" t="s">
        <v>17</v>
      </c>
      <c r="C26" s="53">
        <f>72677+6970+421+4449</f>
        <v>84517</v>
      </c>
      <c r="D26" s="81">
        <f>17200+273+100+23</f>
        <v>17596</v>
      </c>
      <c r="E26" s="82">
        <f t="shared" si="0"/>
        <v>20.819480104594344</v>
      </c>
      <c r="F26" s="43">
        <f>D26/'[2]BS95'!D26*100</f>
        <v>109.81713786432003</v>
      </c>
      <c r="G26" s="8"/>
    </row>
    <row r="27" spans="1:9" ht="25.5">
      <c r="A27" s="84">
        <v>9</v>
      </c>
      <c r="B27" s="80" t="s">
        <v>66</v>
      </c>
      <c r="C27" s="81">
        <v>210627</v>
      </c>
      <c r="D27" s="81">
        <f>36996</f>
        <v>36996</v>
      </c>
      <c r="E27" s="82">
        <f t="shared" si="0"/>
        <v>17.5646996823769</v>
      </c>
      <c r="F27" s="43">
        <f>D27/'[2]BS95'!D27*100</f>
        <v>100.19499512512186</v>
      </c>
      <c r="G27" s="8"/>
      <c r="I27" s="8"/>
    </row>
    <row r="28" spans="1:7" ht="12.75">
      <c r="A28" s="84">
        <v>10</v>
      </c>
      <c r="B28" s="85" t="s">
        <v>54</v>
      </c>
      <c r="C28" s="81">
        <f>98629</f>
        <v>98629</v>
      </c>
      <c r="D28" s="81">
        <f>44298</f>
        <v>44298</v>
      </c>
      <c r="E28" s="82">
        <f t="shared" si="0"/>
        <v>44.913767755933854</v>
      </c>
      <c r="F28" s="43">
        <f>D28/'[2]BS95'!D28*100</f>
        <v>99.19831601576496</v>
      </c>
      <c r="G28" s="8"/>
    </row>
    <row r="29" spans="1:7" ht="12.75">
      <c r="A29" s="10" t="s">
        <v>3</v>
      </c>
      <c r="B29" s="31" t="s">
        <v>67</v>
      </c>
      <c r="C29" s="55">
        <v>23630</v>
      </c>
      <c r="D29" s="55"/>
      <c r="E29" s="40">
        <f t="shared" si="0"/>
        <v>0</v>
      </c>
      <c r="F29" s="40"/>
      <c r="G29" s="8"/>
    </row>
    <row r="30" spans="1:6" ht="25.5">
      <c r="A30" s="95" t="s">
        <v>8</v>
      </c>
      <c r="B30" s="96" t="s">
        <v>68</v>
      </c>
      <c r="C30" s="97">
        <f>SUM(C31:C32)</f>
        <v>0</v>
      </c>
      <c r="D30" s="97">
        <f>SUM(D31:D32)</f>
        <v>0</v>
      </c>
      <c r="E30" s="98"/>
      <c r="F30" s="98">
        <f>D30/496*100</f>
        <v>0</v>
      </c>
    </row>
    <row r="31" spans="1:7" ht="12.75">
      <c r="A31" s="84">
        <v>1</v>
      </c>
      <c r="B31" s="85" t="s">
        <v>69</v>
      </c>
      <c r="C31" s="12"/>
      <c r="D31" s="81"/>
      <c r="E31" s="82"/>
      <c r="F31" s="82"/>
      <c r="G31" s="8"/>
    </row>
    <row r="32" spans="1:7" ht="12.75">
      <c r="A32" s="84">
        <v>2</v>
      </c>
      <c r="B32" s="85" t="s">
        <v>70</v>
      </c>
      <c r="C32" s="87">
        <f>SUM(C33)</f>
        <v>0</v>
      </c>
      <c r="D32" s="87">
        <f>SUM(D33)</f>
        <v>0</v>
      </c>
      <c r="E32" s="98"/>
      <c r="F32" s="98">
        <f>D32/385*100</f>
        <v>0</v>
      </c>
      <c r="G32" s="8"/>
    </row>
    <row r="33" spans="1:7" ht="12.75">
      <c r="A33" s="84">
        <v>3</v>
      </c>
      <c r="B33" s="85" t="s">
        <v>71</v>
      </c>
      <c r="C33" s="88"/>
      <c r="D33" s="88"/>
      <c r="E33" s="82"/>
      <c r="F33" s="82">
        <f>D33/385*100</f>
        <v>0</v>
      </c>
      <c r="G33" s="8"/>
    </row>
    <row r="34" spans="1:7" ht="12.75">
      <c r="A34" s="19"/>
      <c r="B34" s="33"/>
      <c r="C34" s="29"/>
      <c r="D34" s="29"/>
      <c r="E34" s="42"/>
      <c r="F34" s="52">
        <f>D34/385*100</f>
        <v>0</v>
      </c>
      <c r="G34" s="5"/>
    </row>
    <row r="35" spans="1:6" s="57" customFormat="1" ht="12" customHeight="1">
      <c r="A35" s="56"/>
      <c r="B35" s="56"/>
      <c r="C35" s="56"/>
      <c r="D35" s="56"/>
      <c r="E35" s="56"/>
      <c r="F35" s="56"/>
    </row>
    <row r="36" spans="2:6" ht="12.75">
      <c r="B36" s="7"/>
      <c r="C36" s="7"/>
      <c r="D36" s="7"/>
      <c r="E36" s="7"/>
      <c r="F36" s="7"/>
    </row>
  </sheetData>
  <sheetProtection/>
  <mergeCells count="2">
    <mergeCell ref="A5:F5"/>
    <mergeCell ref="A6:F6"/>
  </mergeCells>
  <printOptions/>
  <pageMargins left="1" right="0.5" top="0.85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2021-04-13T01:47:59Z</cp:lastPrinted>
  <dcterms:created xsi:type="dcterms:W3CDTF">2001-08-16T01:23:45Z</dcterms:created>
  <dcterms:modified xsi:type="dcterms:W3CDTF">2021-04-13T02:07:12Z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2021-04-14T00:00:00Z</vt:lpwstr>
  </property>
  <property fmtid="{D5CDD505-2E9C-101B-9397-08002B2CF9AE}" pid="4" name="ContentTy">
    <vt:lpwstr>Hình ảnh</vt:lpwstr>
  </property>
  <property fmtid="{D5CDD505-2E9C-101B-9397-08002B2CF9AE}" pid="5" name="Ngày g">
    <vt:lpwstr>2021-04-14T14:59:00Z</vt:lpwstr>
  </property>
</Properties>
</file>