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140" activeTab="1"/>
  </bookViews>
  <sheets>
    <sheet name="BS93" sheetId="1" r:id="rId1"/>
    <sheet name="BS94" sheetId="2" r:id="rId2"/>
    <sheet name="BS95" sheetId="3" r:id="rId3"/>
  </sheets>
  <externalReferences>
    <externalReference r:id="rId6"/>
    <externalReference r:id="rId7"/>
    <externalReference r:id="rId8"/>
  </externalReferences>
  <definedNames>
    <definedName name="_xlnm.Print_Titles" localSheetId="0">'BS93'!$8:$8</definedName>
    <definedName name="_xlnm.Print_Titles" localSheetId="1">'BS94'!$8:$8</definedName>
    <definedName name="_xlnm.Print_Titles" localSheetId="2">'BS95'!$8:$8</definedName>
  </definedNames>
  <calcPr fullCalcOnLoad="1"/>
</workbook>
</file>

<file path=xl/sharedStrings.xml><?xml version="1.0" encoding="utf-8"?>
<sst xmlns="http://schemas.openxmlformats.org/spreadsheetml/2006/main" count="142" uniqueCount="84">
  <si>
    <t>STT</t>
  </si>
  <si>
    <t>I</t>
  </si>
  <si>
    <t>II</t>
  </si>
  <si>
    <t>III</t>
  </si>
  <si>
    <t>Chi đầu tư phát triển</t>
  </si>
  <si>
    <t>Chi thường xuyên</t>
  </si>
  <si>
    <t>Dự phòng</t>
  </si>
  <si>
    <t>A</t>
  </si>
  <si>
    <t>B</t>
  </si>
  <si>
    <t>Thu nội địa</t>
  </si>
  <si>
    <t>Thuế sử dụng đất nông nghiệp</t>
  </si>
  <si>
    <t>Các khoản thu về nhà, đất</t>
  </si>
  <si>
    <t>Thu khác ngân sách</t>
  </si>
  <si>
    <t>TỔNG CHI NGÂN SÁCH QUẬN</t>
  </si>
  <si>
    <t>Tổng chi cân đối ngân sách quận</t>
  </si>
  <si>
    <t>Chi giáo dục, đào tạo và dạy nghề</t>
  </si>
  <si>
    <t>Chi khoa học công nghệ</t>
  </si>
  <si>
    <t>Chi sự nghiệp kinh tế</t>
  </si>
  <si>
    <t>Dự toán</t>
  </si>
  <si>
    <t>Thu từ hoạt động xổ số kiến thiết</t>
  </si>
  <si>
    <t>Thuế thu nhập cá nhân</t>
  </si>
  <si>
    <t>Thuế sử dụng đất phi nông nghiệp</t>
  </si>
  <si>
    <t>Thuế bảo vệ môi trường</t>
  </si>
  <si>
    <t>Chi sự nghiệp bảo vệ môi trường</t>
  </si>
  <si>
    <t>1</t>
  </si>
  <si>
    <t>2</t>
  </si>
  <si>
    <t>4</t>
  </si>
  <si>
    <t>ĐV: Triệu đồng</t>
  </si>
  <si>
    <t>Thu chuyển nguồn từ năm trước chuyển sang</t>
  </si>
  <si>
    <t>Ngân sách quận bao gồm ngân sách cấp quận và ngân sách phường, không tính ghi thu ghi chi.</t>
  </si>
  <si>
    <t>Thực hiện</t>
  </si>
  <si>
    <t>năm</t>
  </si>
  <si>
    <t>Cùng kỳ</t>
  </si>
  <si>
    <t>năm trước</t>
  </si>
  <si>
    <t>Nội dung</t>
  </si>
  <si>
    <t>3=2/1</t>
  </si>
  <si>
    <t>So sánh (%)</t>
  </si>
  <si>
    <t>Thu từ khu vực doanh nghiệp nhà nước</t>
  </si>
  <si>
    <t>Thu từ khu vực doanh nghiệp có vốn đầu tư nước ngoài</t>
  </si>
  <si>
    <t>Thu từ khu vực kinh tế ngoài quốc doanh</t>
  </si>
  <si>
    <t>Thu tiền sử dụng đất</t>
  </si>
  <si>
    <t>Thu quỹ đất công ích, hoa lợi công sản khác</t>
  </si>
  <si>
    <t>Thu viện trợ</t>
  </si>
  <si>
    <t>THU NS QUẬN ĐƯỢC HƯỞNG THEO PHÂN CẤP</t>
  </si>
  <si>
    <t>Từ các khoản thu phân chia</t>
  </si>
  <si>
    <t>Các khoản thu hưởng 100%</t>
  </si>
  <si>
    <t>CHI CÂN ĐỐI NGÂN SÁCH QUẬN</t>
  </si>
  <si>
    <t>Chi đầu tư cho các dự án</t>
  </si>
  <si>
    <t>Chi đầu tư phát triển khác</t>
  </si>
  <si>
    <t>Trong đó:</t>
  </si>
  <si>
    <t>Chi y tế, dân số và gia đình</t>
  </si>
  <si>
    <t>Chi sự nghiệp văn hóa thông tin</t>
  </si>
  <si>
    <t>Chi sự nghiệp phát thanh, truyền hình</t>
  </si>
  <si>
    <t>Chi sự nghiệp thể dục thể thao</t>
  </si>
  <si>
    <t>Chi bảo đảm xã hội</t>
  </si>
  <si>
    <t>(Kèm theo Thông báo số                  /TB-UBND ngày           tháng 4 năm 2017 của Ủy ban nhân dân Quận 8)</t>
  </si>
  <si>
    <t>Biểu số 93/CK-NSNN</t>
  </si>
  <si>
    <t>Dự toán năm</t>
  </si>
  <si>
    <t>So sánh thực hiện với (%)</t>
  </si>
  <si>
    <t>Thu cân đối NSNN</t>
  </si>
  <si>
    <t>Lệ phí trước bạ</t>
  </si>
  <si>
    <t>Thu phí, lệ phí</t>
  </si>
  <si>
    <t>Tiền cho thuê đất, thuê mặt nước</t>
  </si>
  <si>
    <t>Tiền cho thuê và tiền bán nhà ở thuộc sở hữu nhà nước</t>
  </si>
  <si>
    <t>Biểu số 95/CK-NSNN</t>
  </si>
  <si>
    <t>Biểu số 94/CK-NSNN</t>
  </si>
  <si>
    <t>Chi hoạt động của cơ quan quản lý hành chính, đảng, đoàn thể</t>
  </si>
  <si>
    <t>Dự phòng ngân sách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</si>
  <si>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</si>
  <si>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</si>
  <si>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</si>
  <si>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</si>
  <si>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từ nguồn bổ sung có mục tiêu từ NS cấp trên</t>
  </si>
  <si>
    <t xml:space="preserve">TỔNG NGUỒN THU NSNN TRÊN ĐỊA BÀN </t>
  </si>
  <si>
    <t xml:space="preserve">TỔNG THU NSNN TRÊN ĐỊA BÀN </t>
  </si>
  <si>
    <t xml:space="preserve">     ỦY BAN NHÂN DÂN QUẬN 8</t>
  </si>
  <si>
    <t>PHÒNG TÀI CHÍNH - KẾ HOẠCH</t>
  </si>
  <si>
    <t xml:space="preserve">                   _______</t>
  </si>
  <si>
    <t xml:space="preserve">                   __________</t>
  </si>
  <si>
    <t>THỰC HIỆN THU NGÂN SÁCH NHÀ NƯỚC NĂM 2021</t>
  </si>
  <si>
    <t>CÂN ĐỐI NGÂN SÁCH QUẬN NĂM 2021</t>
  </si>
  <si>
    <t>THỰC HIỆN CHI NGÂN SÁCH QUẬN NĂM 2021</t>
  </si>
  <si>
    <t xml:space="preserve"> năm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</si>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</sst>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"/>
    <numFmt numFmtId="180" formatCode="#,##0.00000"/>
    <numFmt numFmtId="181" formatCode="_-* #,##0\ &quot;Ft&quot;_-;\-* #,##0\ &quot;Ft&quot;_-;_-* &quot;-&quot;\ &quot;Ft&quot;_-;_-@_-"/>
    <numFmt numFmtId="182" formatCode="_-* #,##0\ _F_t_-;\-* #,##0\ _F_t_-;_-* &quot;-&quot;\ _F_t_-;_-@_-"/>
    <numFmt numFmtId="183" formatCode="_-* #,##0.00\ &quot;Ft&quot;_-;\-* #,##0.00\ &quot;Ft&quot;_-;_-* &quot;-&quot;??\ &quot;Ft&quot;_-;_-@_-"/>
    <numFmt numFmtId="184" formatCode="_-* #,##0.00\ _F_t_-;\-* #,##0.00\ _F_t_-;_-* &quot;-&quot;??\ _F_t_-;_-@_-"/>
    <numFmt numFmtId="185" formatCode="0.000"/>
    <numFmt numFmtId="186" formatCode="_-* #,##0\ _F_t_-;\-* #,##0\ _F_t_-;_-* &quot;-&quot;??\ _F_t_-;_-@_-"/>
    <numFmt numFmtId="187" formatCode="#,##0;[Red]#,##0"/>
    <numFmt numFmtId="188" formatCode="_-* #,##0.000\ _F_t_-;\-* #,##0.000\ _F_t_-;_-* &quot;-&quot;??\ _F_t_-;_-@_-"/>
    <numFmt numFmtId="189" formatCode="#,##0.0;[Red]\-#,##0.0"/>
    <numFmt numFmtId="190" formatCode="0.00000"/>
    <numFmt numFmtId="191" formatCode="0.0000"/>
    <numFmt numFmtId="192" formatCode="#,##0.00_ ;[Red]\-#,##0.00\ 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6" fillId="0" borderId="1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43" applyNumberFormat="1" applyFont="1" applyFill="1" applyBorder="1" applyAlignment="1">
      <alignment/>
    </xf>
    <xf numFmtId="3" fontId="6" fillId="0" borderId="11" xfId="4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9" fillId="0" borderId="12" xfId="43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3" fontId="9" fillId="0" borderId="11" xfId="43" applyNumberFormat="1" applyFont="1" applyFill="1" applyBorder="1" applyAlignment="1">
      <alignment/>
    </xf>
    <xf numFmtId="3" fontId="16" fillId="0" borderId="11" xfId="43" applyNumberFormat="1" applyFont="1" applyFill="1" applyBorder="1" applyAlignment="1">
      <alignment/>
    </xf>
    <xf numFmtId="3" fontId="9" fillId="0" borderId="10" xfId="43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6" fillId="0" borderId="13" xfId="0" applyFont="1" applyBorder="1" applyAlignment="1" quotePrefix="1">
      <alignment horizontal="centerContinuous"/>
    </xf>
    <xf numFmtId="4" fontId="9" fillId="0" borderId="12" xfId="43" applyNumberFormat="1" applyFont="1" applyFill="1" applyBorder="1" applyAlignment="1">
      <alignment/>
    </xf>
    <xf numFmtId="4" fontId="9" fillId="0" borderId="11" xfId="43" applyNumberFormat="1" applyFont="1" applyFill="1" applyBorder="1" applyAlignment="1">
      <alignment/>
    </xf>
    <xf numFmtId="4" fontId="6" fillId="0" borderId="12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4" fontId="6" fillId="0" borderId="11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43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0" fillId="0" borderId="11" xfId="43" applyNumberFormat="1" applyFont="1" applyFill="1" applyBorder="1" applyAlignment="1">
      <alignment/>
    </xf>
    <xf numFmtId="38" fontId="6" fillId="0" borderId="0" xfId="42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2" xfId="43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3" fontId="6" fillId="0" borderId="11" xfId="0" applyNumberFormat="1" applyFont="1" applyBorder="1" applyAlignment="1">
      <alignment vertical="top"/>
    </xf>
    <xf numFmtId="4" fontId="6" fillId="0" borderId="11" xfId="43" applyNumberFormat="1" applyFont="1" applyFill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6" fillId="0" borderId="11" xfId="43" applyNumberFormat="1" applyFont="1" applyFill="1" applyBorder="1" applyAlignment="1">
      <alignment vertical="top"/>
    </xf>
    <xf numFmtId="3" fontId="53" fillId="0" borderId="11" xfId="0" applyNumberFormat="1" applyFont="1" applyBorder="1" applyAlignment="1">
      <alignment/>
    </xf>
    <xf numFmtId="178" fontId="6" fillId="0" borderId="0" xfId="0" applyNumberFormat="1" applyFont="1" applyAlignment="1" quotePrefix="1">
      <alignment/>
    </xf>
    <xf numFmtId="40" fontId="6" fillId="0" borderId="0" xfId="42" applyFont="1" applyAlignment="1">
      <alignment/>
    </xf>
    <xf numFmtId="4" fontId="1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3" fontId="9" fillId="0" borderId="11" xfId="43" applyNumberFormat="1" applyFont="1" applyFill="1" applyBorder="1" applyAlignment="1">
      <alignment vertical="top"/>
    </xf>
    <xf numFmtId="4" fontId="9" fillId="0" borderId="11" xfId="43" applyNumberFormat="1" applyFont="1" applyFill="1" applyBorder="1" applyAlignment="1">
      <alignment vertical="top"/>
    </xf>
    <xf numFmtId="178" fontId="6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3" fontId="9" fillId="0" borderId="14" xfId="43" applyNumberFormat="1" applyFont="1" applyFill="1" applyBorder="1" applyAlignment="1">
      <alignment/>
    </xf>
    <xf numFmtId="4" fontId="9" fillId="0" borderId="14" xfId="43" applyNumberFormat="1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24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6" fillId="0" borderId="24" xfId="0" applyFont="1" applyBorder="1" applyAlignment="1">
      <alignment vertical="top" wrapText="1"/>
    </xf>
    <xf numFmtId="179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" fontId="9" fillId="0" borderId="25" xfId="43" applyNumberFormat="1" applyFont="1" applyFill="1" applyBorder="1" applyAlignment="1">
      <alignment/>
    </xf>
    <xf numFmtId="3" fontId="54" fillId="0" borderId="10" xfId="43" applyNumberFormat="1" applyFont="1" applyFill="1" applyBorder="1" applyAlignment="1">
      <alignment/>
    </xf>
    <xf numFmtId="0" fontId="55" fillId="0" borderId="0" xfId="0" applyFont="1" applyAlignment="1">
      <alignment horizontal="justify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BC-STC%202021\BC%20thu%20chi%20NS%202021\BC%20thu%20chi%20thang%20STC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-STC\C&#244;ng%20khai%20NS\CK2020\CK%20NS%209%20thang-2020\Cong%20khai%20NS%209%20thang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-STC\C&#244;ng%20khai%20NS\CK2020\CK%20NS%202020\Cong%20khai%20NS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"/>
      <sheetName val="T3"/>
      <sheetName val="T2"/>
      <sheetName val="T1"/>
    </sheetNames>
    <sheetDataSet>
      <sheetData sheetId="1">
        <row r="11">
          <cell r="C11">
            <v>1158780000</v>
          </cell>
        </row>
        <row r="14">
          <cell r="B14">
            <v>26350000</v>
          </cell>
        </row>
        <row r="15">
          <cell r="B15">
            <v>673650000</v>
          </cell>
        </row>
        <row r="22">
          <cell r="B22">
            <v>230000000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93"/>
      <sheetName val="BS94"/>
      <sheetName val="BS95"/>
    </sheetNames>
    <sheetDataSet>
      <sheetData sheetId="1">
        <row r="31">
          <cell r="D31">
            <v>147310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93"/>
      <sheetName val="BS94"/>
      <sheetName val="BS95"/>
    </sheetNames>
    <sheetDataSet>
      <sheetData sheetId="0">
        <row r="12">
          <cell r="D12">
            <v>1488296.5907049999</v>
          </cell>
        </row>
        <row r="13">
          <cell r="D13">
            <v>1432780.5907049999</v>
          </cell>
        </row>
        <row r="14">
          <cell r="D14">
            <v>1432780.5907049999</v>
          </cell>
        </row>
        <row r="16">
          <cell r="D16">
            <v>55516</v>
          </cell>
        </row>
        <row r="17">
          <cell r="D17">
            <v>1007984</v>
          </cell>
        </row>
        <row r="18">
          <cell r="D18">
            <v>1007984</v>
          </cell>
        </row>
        <row r="19">
          <cell r="D19">
            <v>73275</v>
          </cell>
        </row>
        <row r="20">
          <cell r="D20">
            <v>898199</v>
          </cell>
        </row>
      </sheetData>
      <sheetData sheetId="1">
        <row r="12">
          <cell r="D12">
            <v>1439174.7306960002</v>
          </cell>
        </row>
        <row r="13">
          <cell r="D13">
            <v>1439174.7306960002</v>
          </cell>
        </row>
        <row r="14">
          <cell r="D14">
            <v>18162</v>
          </cell>
        </row>
        <row r="15">
          <cell r="D15">
            <v>4700</v>
          </cell>
        </row>
        <row r="16">
          <cell r="D16">
            <v>628192.494696</v>
          </cell>
        </row>
        <row r="17">
          <cell r="D17">
            <v>203929.461</v>
          </cell>
        </row>
        <row r="18">
          <cell r="D18">
            <v>1059.48</v>
          </cell>
        </row>
        <row r="19">
          <cell r="D19">
            <v>168033.503</v>
          </cell>
        </row>
        <row r="20">
          <cell r="D20">
            <v>66117.951</v>
          </cell>
        </row>
        <row r="21">
          <cell r="D21">
            <v>281026.904</v>
          </cell>
        </row>
        <row r="23">
          <cell r="D23">
            <v>14630.405</v>
          </cell>
        </row>
        <row r="24">
          <cell r="D24">
            <v>160057.119</v>
          </cell>
        </row>
        <row r="25">
          <cell r="D25">
            <v>106339.38</v>
          </cell>
        </row>
        <row r="28">
          <cell r="D28">
            <v>67952.937</v>
          </cell>
        </row>
        <row r="32">
          <cell r="D32">
            <v>112926.76870500001</v>
          </cell>
        </row>
        <row r="33">
          <cell r="D33">
            <v>88528.534</v>
          </cell>
        </row>
      </sheetData>
      <sheetData sheetId="2">
        <row r="12">
          <cell r="D12">
            <v>1007984</v>
          </cell>
        </row>
        <row r="13">
          <cell r="D13">
            <v>1007984</v>
          </cell>
        </row>
        <row r="14">
          <cell r="D14">
            <v>73275</v>
          </cell>
        </row>
        <row r="15">
          <cell r="D15">
            <v>70275</v>
          </cell>
        </row>
        <row r="16">
          <cell r="D16">
            <v>3000</v>
          </cell>
        </row>
        <row r="17">
          <cell r="D17">
            <v>898199</v>
          </cell>
        </row>
        <row r="19">
          <cell r="D19">
            <v>348478</v>
          </cell>
        </row>
        <row r="21">
          <cell r="D21">
            <v>58521</v>
          </cell>
        </row>
        <row r="22">
          <cell r="D22">
            <v>10533</v>
          </cell>
        </row>
        <row r="24">
          <cell r="D24">
            <v>1333</v>
          </cell>
        </row>
        <row r="25">
          <cell r="D25">
            <v>62327</v>
          </cell>
        </row>
        <row r="26">
          <cell r="D26">
            <v>45749</v>
          </cell>
        </row>
        <row r="27">
          <cell r="D27">
            <v>179635</v>
          </cell>
        </row>
        <row r="28">
          <cell r="D28">
            <v>135788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="120" zoomScaleNormal="120" zoomScalePageLayoutView="0" workbookViewId="0" topLeftCell="A4">
      <selection activeCell="D14" sqref="D14"/>
    </sheetView>
  </sheetViews>
  <sheetFormatPr defaultColWidth="9.140625" defaultRowHeight="12.75"/>
  <cols>
    <col min="1" max="1" width="5.421875" style="1" customWidth="1"/>
    <col min="2" max="2" width="40.57421875" style="1" customWidth="1"/>
    <col min="3" max="3" width="9.7109375" style="1" customWidth="1"/>
    <col min="4" max="4" width="9.8515625" style="1" customWidth="1"/>
    <col min="5" max="5" width="10.8515625" style="1" customWidth="1"/>
    <col min="6" max="6" width="10.57421875" style="1" customWidth="1"/>
    <col min="7" max="7" width="10.421875" style="1" bestFit="1" customWidth="1"/>
    <col min="8" max="16384" width="9.140625" style="1" customWidth="1"/>
  </cols>
  <sheetData>
    <row r="1" spans="1:6" ht="12.75">
      <c r="A1" s="1" t="s">
        <v>75</v>
      </c>
      <c r="F1" s="2" t="s">
        <v>56</v>
      </c>
    </row>
    <row r="2" ht="12.75">
      <c r="A2" s="9" t="s">
        <v>76</v>
      </c>
    </row>
    <row r="3" ht="12.75">
      <c r="A3" s="9" t="s">
        <v>78</v>
      </c>
    </row>
    <row r="4" ht="12.75">
      <c r="A4" s="9"/>
    </row>
    <row r="5" spans="1:6" s="3" customFormat="1" ht="16.5">
      <c r="A5" s="110" t="s">
        <v>80</v>
      </c>
      <c r="B5" s="110"/>
      <c r="C5" s="110"/>
      <c r="D5" s="110"/>
      <c r="E5" s="110"/>
      <c r="F5" s="110"/>
    </row>
    <row r="6" spans="1:6" s="4" customFormat="1" ht="12.75" hidden="1">
      <c r="A6" s="111" t="s">
        <v>55</v>
      </c>
      <c r="B6" s="111"/>
      <c r="C6" s="111"/>
      <c r="D6" s="111"/>
      <c r="E6" s="111"/>
      <c r="F6" s="111"/>
    </row>
    <row r="7" ht="12.75">
      <c r="F7" s="73" t="s">
        <v>27</v>
      </c>
    </row>
    <row r="8" spans="1:6" ht="12.75">
      <c r="A8" s="64" t="s">
        <v>0</v>
      </c>
      <c r="B8" s="64" t="s">
        <v>34</v>
      </c>
      <c r="C8" s="65" t="s">
        <v>18</v>
      </c>
      <c r="D8" s="65" t="s">
        <v>30</v>
      </c>
      <c r="E8" s="66" t="s">
        <v>58</v>
      </c>
      <c r="F8" s="66"/>
    </row>
    <row r="9" spans="1:6" ht="12.75">
      <c r="A9" s="67"/>
      <c r="B9" s="68"/>
      <c r="C9" s="69" t="s">
        <v>31</v>
      </c>
      <c r="D9" s="69" t="s">
        <v>31</v>
      </c>
      <c r="E9" s="69" t="s">
        <v>57</v>
      </c>
      <c r="F9" s="69" t="s">
        <v>32</v>
      </c>
    </row>
    <row r="10" spans="1:6" ht="12.75">
      <c r="A10" s="70"/>
      <c r="B10" s="71"/>
      <c r="C10" s="72"/>
      <c r="D10" s="72"/>
      <c r="E10" s="72"/>
      <c r="F10" s="72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7" ht="12.75">
      <c r="A12" s="15" t="s">
        <v>7</v>
      </c>
      <c r="B12" s="36" t="s">
        <v>73</v>
      </c>
      <c r="C12" s="25">
        <f>C13+C16</f>
        <v>1158780</v>
      </c>
      <c r="D12" s="25">
        <f>D13+D16</f>
        <v>1862486</v>
      </c>
      <c r="E12" s="39">
        <f>D12/C12*100</f>
        <v>160.72817963720465</v>
      </c>
      <c r="F12" s="39">
        <f>D12/'[3]BS93'!D12*100</f>
        <v>125.14212634981232</v>
      </c>
      <c r="G12" s="59">
        <f>F12-100</f>
        <v>25.142126349812315</v>
      </c>
    </row>
    <row r="13" spans="1:7" ht="12.75">
      <c r="A13" s="10" t="s">
        <v>1</v>
      </c>
      <c r="B13" s="31" t="s">
        <v>59</v>
      </c>
      <c r="C13" s="27">
        <f>SUM(C14:C15)</f>
        <v>1158780</v>
      </c>
      <c r="D13" s="27">
        <f>SUM(D14:D15)</f>
        <v>1603514</v>
      </c>
      <c r="E13" s="39">
        <f>D13/C13*100</f>
        <v>138.37950258029997</v>
      </c>
      <c r="F13" s="39">
        <f>D13/'[3]BS93'!D13*100</f>
        <v>111.91622851416425</v>
      </c>
      <c r="G13" s="59">
        <f>F13-100</f>
        <v>11.916228514164246</v>
      </c>
    </row>
    <row r="14" spans="1:6" ht="12.75">
      <c r="A14" s="11">
        <v>1</v>
      </c>
      <c r="B14" s="32" t="s">
        <v>9</v>
      </c>
      <c r="C14" s="13">
        <f>'[1]T3'!$C$11/1000</f>
        <v>1158780</v>
      </c>
      <c r="D14" s="13">
        <f>1862486-258972</f>
        <v>1603514</v>
      </c>
      <c r="E14" s="41">
        <f>D14/C14*100</f>
        <v>138.37950258029997</v>
      </c>
      <c r="F14" s="41">
        <f>D14/'[3]BS93'!D14*100</f>
        <v>111.91622851416425</v>
      </c>
    </row>
    <row r="15" spans="1:6" ht="12.75">
      <c r="A15" s="11">
        <v>2</v>
      </c>
      <c r="B15" s="32" t="s">
        <v>42</v>
      </c>
      <c r="C15" s="13"/>
      <c r="D15" s="13"/>
      <c r="E15" s="41"/>
      <c r="F15" s="39"/>
    </row>
    <row r="16" spans="1:6" ht="12.75">
      <c r="A16" s="10" t="s">
        <v>2</v>
      </c>
      <c r="B16" s="31" t="s">
        <v>28</v>
      </c>
      <c r="C16" s="28"/>
      <c r="D16" s="28">
        <f>258972</f>
        <v>258972</v>
      </c>
      <c r="E16" s="39"/>
      <c r="F16" s="39">
        <f>D16/'[3]BS93'!D16*100</f>
        <v>466.48173499531663</v>
      </c>
    </row>
    <row r="17" spans="1:8" ht="12.75">
      <c r="A17" s="10" t="s">
        <v>8</v>
      </c>
      <c r="B17" s="30" t="s">
        <v>13</v>
      </c>
      <c r="C17" s="27">
        <f>SUM(C18,C22,C25)</f>
        <v>1158780</v>
      </c>
      <c r="D17" s="27">
        <f>SUM(D18,D22,D25)</f>
        <v>1487348</v>
      </c>
      <c r="E17" s="39">
        <f>D17/C17*100</f>
        <v>128.3546488548301</v>
      </c>
      <c r="F17" s="39">
        <f>D17/'[3]BS93'!D17*100</f>
        <v>147.55670724932142</v>
      </c>
      <c r="G17" s="8"/>
      <c r="H17" s="59"/>
    </row>
    <row r="18" spans="1:7" ht="12.75">
      <c r="A18" s="10" t="s">
        <v>1</v>
      </c>
      <c r="B18" s="30" t="s">
        <v>14</v>
      </c>
      <c r="C18" s="27">
        <f>SUM(C19:C21)</f>
        <v>1158780</v>
      </c>
      <c r="D18" s="27">
        <f>SUM(D19:D21)</f>
        <v>1487348</v>
      </c>
      <c r="E18" s="39">
        <f>D18/C18*100</f>
        <v>128.3546488548301</v>
      </c>
      <c r="F18" s="39">
        <f>D18/'[3]BS93'!D18*100</f>
        <v>147.55670724932142</v>
      </c>
      <c r="G18" s="5"/>
    </row>
    <row r="19" spans="1:7" ht="12.75">
      <c r="A19" s="11">
        <v>1</v>
      </c>
      <c r="B19" s="32" t="s">
        <v>4</v>
      </c>
      <c r="C19" s="12"/>
      <c r="D19" s="12">
        <f>'BS95'!D14</f>
        <v>22276</v>
      </c>
      <c r="E19" s="41"/>
      <c r="F19" s="41">
        <f>D19/'[3]BS93'!D19*100</f>
        <v>30.40054588877516</v>
      </c>
      <c r="G19" s="5"/>
    </row>
    <row r="20" spans="1:7" ht="12.75">
      <c r="A20" s="11">
        <v>2</v>
      </c>
      <c r="B20" s="32" t="s">
        <v>5</v>
      </c>
      <c r="C20" s="12">
        <f>1158780-23630</f>
        <v>1135150</v>
      </c>
      <c r="D20" s="12">
        <f>'BS95'!D17</f>
        <v>1465072</v>
      </c>
      <c r="E20" s="41">
        <f>D20/C20*100</f>
        <v>129.0641765405453</v>
      </c>
      <c r="F20" s="41">
        <f>D20/'[3]BS93'!D20*100</f>
        <v>163.1121833802977</v>
      </c>
      <c r="G20" s="81"/>
    </row>
    <row r="21" spans="1:7" ht="12.75">
      <c r="A21" s="11">
        <v>3</v>
      </c>
      <c r="B21" s="32" t="s">
        <v>6</v>
      </c>
      <c r="C21" s="12">
        <f>23630</f>
        <v>23630</v>
      </c>
      <c r="D21" s="12"/>
      <c r="E21" s="41">
        <f>D21/C21*100</f>
        <v>0</v>
      </c>
      <c r="F21" s="41"/>
      <c r="G21" s="5"/>
    </row>
    <row r="22" spans="1:7" ht="12.75">
      <c r="A22" s="19" t="s">
        <v>2</v>
      </c>
      <c r="B22" s="63" t="s">
        <v>72</v>
      </c>
      <c r="C22" s="29"/>
      <c r="D22" s="29"/>
      <c r="E22" s="42"/>
      <c r="F22" s="42">
        <f>D22/496*100</f>
        <v>0</v>
      </c>
      <c r="G22" s="5"/>
    </row>
    <row r="23" spans="1:7" ht="12.75" hidden="1">
      <c r="A23" s="60"/>
      <c r="B23" s="61"/>
      <c r="C23" s="62"/>
      <c r="D23" s="62"/>
      <c r="E23" s="41"/>
      <c r="F23" s="41"/>
      <c r="G23" s="5"/>
    </row>
    <row r="24" spans="1:7" ht="12.75" hidden="1">
      <c r="A24" s="11"/>
      <c r="B24" s="32"/>
      <c r="C24" s="12"/>
      <c r="D24" s="12"/>
      <c r="E24" s="41"/>
      <c r="F24" s="41"/>
      <c r="G24" s="5"/>
    </row>
    <row r="25" spans="1:6" ht="12.75" hidden="1">
      <c r="A25" s="19"/>
      <c r="B25" s="33"/>
      <c r="C25" s="29"/>
      <c r="D25" s="29"/>
      <c r="E25" s="42"/>
      <c r="F25" s="42"/>
    </row>
    <row r="26" spans="1:6" ht="12" customHeight="1" hidden="1">
      <c r="A26" s="109"/>
      <c r="B26" s="109"/>
      <c r="C26" s="109"/>
      <c r="D26" s="18"/>
      <c r="E26" s="18"/>
      <c r="F26" s="18"/>
    </row>
    <row r="27" spans="1:6" ht="12.75">
      <c r="A27" s="1" t="s">
        <v>29</v>
      </c>
      <c r="B27" s="7"/>
      <c r="C27" s="7"/>
      <c r="D27" s="7"/>
      <c r="E27" s="7"/>
      <c r="F27" s="7"/>
    </row>
    <row r="28" s="85" customFormat="1" ht="12.75"/>
    <row r="29" ht="12.75">
      <c r="A29" s="84"/>
    </row>
    <row r="32" ht="12.75">
      <c r="D32" s="58"/>
    </row>
    <row r="33" ht="12.75">
      <c r="D33" s="58"/>
    </row>
    <row r="34" ht="12.75">
      <c r="D34" s="58"/>
    </row>
    <row r="35" ht="12.75">
      <c r="D35" s="58"/>
    </row>
    <row r="36" ht="12.75">
      <c r="D36" s="58"/>
    </row>
    <row r="37" ht="12.75">
      <c r="D37" s="58"/>
    </row>
    <row r="38" ht="12.75">
      <c r="D38" s="58"/>
    </row>
    <row r="39" ht="12.75">
      <c r="D39" s="58"/>
    </row>
    <row r="40" ht="12.75">
      <c r="D40" s="58"/>
    </row>
  </sheetData>
  <sheetProtection/>
  <mergeCells count="3">
    <mergeCell ref="A26:C26"/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zoomScale="120" zoomScaleNormal="120" zoomScalePageLayoutView="0" workbookViewId="0" topLeftCell="A4">
      <selection activeCell="C23" sqref="C23"/>
    </sheetView>
  </sheetViews>
  <sheetFormatPr defaultColWidth="9.140625" defaultRowHeight="12.75"/>
  <cols>
    <col min="1" max="1" width="5.421875" style="1" customWidth="1"/>
    <col min="2" max="2" width="44.28125" style="1" customWidth="1"/>
    <col min="3" max="5" width="9.421875" style="1" customWidth="1"/>
    <col min="6" max="6" width="11.28125" style="1" customWidth="1"/>
    <col min="7" max="7" width="10.140625" style="1" bestFit="1" customWidth="1"/>
    <col min="8" max="16384" width="9.140625" style="1" customWidth="1"/>
  </cols>
  <sheetData>
    <row r="1" spans="1:6" ht="12.75">
      <c r="A1" s="1" t="s">
        <v>75</v>
      </c>
      <c r="F1" s="2" t="s">
        <v>65</v>
      </c>
    </row>
    <row r="2" ht="12.75">
      <c r="A2" s="9" t="s">
        <v>76</v>
      </c>
    </row>
    <row r="3" ht="12.75">
      <c r="A3" s="9" t="s">
        <v>77</v>
      </c>
    </row>
    <row r="4" ht="12.75">
      <c r="A4" s="9"/>
    </row>
    <row r="5" spans="1:6" s="3" customFormat="1" ht="16.5">
      <c r="A5" s="110" t="s">
        <v>79</v>
      </c>
      <c r="B5" s="110"/>
      <c r="C5" s="110"/>
      <c r="D5" s="110"/>
      <c r="E5" s="110"/>
      <c r="F5" s="110"/>
    </row>
    <row r="6" spans="1:6" s="4" customFormat="1" ht="12.75" hidden="1">
      <c r="A6" s="111" t="s">
        <v>55</v>
      </c>
      <c r="B6" s="111"/>
      <c r="C6" s="111"/>
      <c r="D6" s="111"/>
      <c r="E6" s="111"/>
      <c r="F6" s="111"/>
    </row>
    <row r="7" ht="12.75">
      <c r="F7" s="73" t="s">
        <v>27</v>
      </c>
    </row>
    <row r="8" spans="1:6" ht="12.75">
      <c r="A8" s="64" t="s">
        <v>0</v>
      </c>
      <c r="B8" s="64" t="s">
        <v>34</v>
      </c>
      <c r="C8" s="65" t="s">
        <v>18</v>
      </c>
      <c r="D8" s="65" t="s">
        <v>30</v>
      </c>
      <c r="E8" s="66" t="s">
        <v>58</v>
      </c>
      <c r="F8" s="66"/>
    </row>
    <row r="9" spans="1:6" ht="12.75">
      <c r="A9" s="67"/>
      <c r="B9" s="68"/>
      <c r="C9" s="69" t="s">
        <v>31</v>
      </c>
      <c r="D9" s="69" t="s">
        <v>83</v>
      </c>
      <c r="E9" s="69" t="s">
        <v>18</v>
      </c>
      <c r="F9" s="69" t="s">
        <v>32</v>
      </c>
    </row>
    <row r="10" spans="1:6" ht="12.75">
      <c r="A10" s="70"/>
      <c r="B10" s="71"/>
      <c r="C10" s="72"/>
      <c r="D10" s="72"/>
      <c r="E10" s="72" t="s">
        <v>31</v>
      </c>
      <c r="F10" s="72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7" ht="12.75">
      <c r="A12" s="64" t="s">
        <v>7</v>
      </c>
      <c r="B12" s="91" t="s">
        <v>74</v>
      </c>
      <c r="C12" s="92">
        <f>SUM(C13,C30)</f>
        <v>1509000</v>
      </c>
      <c r="D12" s="92">
        <f>SUM(D13,D30)</f>
        <v>1263747</v>
      </c>
      <c r="E12" s="93">
        <f aca="true" t="shared" si="0" ref="E12:E21">D12/C12*100</f>
        <v>83.74731610337972</v>
      </c>
      <c r="F12" s="106">
        <f>D12/'[3]BS94'!D12*100</f>
        <v>87.8105328731584</v>
      </c>
      <c r="G12" s="59"/>
    </row>
    <row r="13" spans="1:7" ht="12.75">
      <c r="A13" s="10" t="s">
        <v>1</v>
      </c>
      <c r="B13" s="31" t="s">
        <v>9</v>
      </c>
      <c r="C13" s="51">
        <f>SUM(C14:C21,C27:C29)</f>
        <v>1509000</v>
      </c>
      <c r="D13" s="51">
        <f>SUM(D14:D21,D27:D29)</f>
        <v>1263747</v>
      </c>
      <c r="E13" s="40">
        <f t="shared" si="0"/>
        <v>83.74731610337972</v>
      </c>
      <c r="F13" s="40">
        <f>D13/'[3]BS94'!D13*100</f>
        <v>87.8105328731584</v>
      </c>
      <c r="G13" s="8"/>
    </row>
    <row r="14" spans="1:8" ht="12.75">
      <c r="A14" s="11">
        <v>1</v>
      </c>
      <c r="B14" s="44" t="s">
        <v>37</v>
      </c>
      <c r="C14" s="49">
        <f>'[1]T3'!$B$14/2/1000</f>
        <v>13175</v>
      </c>
      <c r="D14" s="80">
        <f>1709+13856</f>
        <v>15565</v>
      </c>
      <c r="E14" s="43">
        <f t="shared" si="0"/>
        <v>118.1404174573055</v>
      </c>
      <c r="F14" s="43">
        <f>D14/'[3]BS94'!D14*100</f>
        <v>85.70091399625592</v>
      </c>
      <c r="G14" s="8"/>
      <c r="H14" s="105"/>
    </row>
    <row r="15" spans="1:7" ht="12.75">
      <c r="A15" s="11">
        <v>2</v>
      </c>
      <c r="B15" s="44" t="s">
        <v>38</v>
      </c>
      <c r="C15" s="49">
        <f>'[1]T3'!$B$14/2/1000</f>
        <v>13175</v>
      </c>
      <c r="D15" s="49">
        <f>5387</f>
        <v>5387</v>
      </c>
      <c r="E15" s="43">
        <f t="shared" si="0"/>
        <v>40.888045540796966</v>
      </c>
      <c r="F15" s="43">
        <f>D15/'[3]BS94'!D15*100</f>
        <v>114.61702127659575</v>
      </c>
      <c r="G15" s="8"/>
    </row>
    <row r="16" spans="1:7" ht="12.75">
      <c r="A16" s="11">
        <v>3</v>
      </c>
      <c r="B16" s="44" t="s">
        <v>39</v>
      </c>
      <c r="C16" s="49">
        <f>'[1]T3'!$B$15/1000</f>
        <v>673650</v>
      </c>
      <c r="D16" s="49">
        <f>356442+156718+498+7</f>
        <v>513665</v>
      </c>
      <c r="E16" s="43">
        <f t="shared" si="0"/>
        <v>76.2510205596378</v>
      </c>
      <c r="F16" s="43">
        <f>D16/'[3]BS94'!D16*100</f>
        <v>81.76872604130314</v>
      </c>
      <c r="G16" s="8"/>
    </row>
    <row r="17" spans="1:7" ht="12.75">
      <c r="A17" s="11">
        <v>4</v>
      </c>
      <c r="B17" s="44" t="s">
        <v>20</v>
      </c>
      <c r="C17" s="49">
        <f>'[1]T3'!$B$22/1000</f>
        <v>230000</v>
      </c>
      <c r="D17" s="49">
        <f>179692</f>
        <v>179692</v>
      </c>
      <c r="E17" s="43">
        <f t="shared" si="0"/>
        <v>78.12695652173913</v>
      </c>
      <c r="F17" s="43">
        <f>D17/'[3]BS94'!D17*100</f>
        <v>88.11478200297896</v>
      </c>
      <c r="G17" s="8"/>
    </row>
    <row r="18" spans="1:7" ht="12.75">
      <c r="A18" s="11">
        <v>5</v>
      </c>
      <c r="B18" s="44" t="s">
        <v>22</v>
      </c>
      <c r="C18" s="49">
        <f>1000</f>
        <v>1000</v>
      </c>
      <c r="D18" s="49">
        <f>277</f>
        <v>277</v>
      </c>
      <c r="E18" s="43">
        <f t="shared" si="0"/>
        <v>27.700000000000003</v>
      </c>
      <c r="F18" s="43">
        <f>D18/'[3]BS94'!D18*100</f>
        <v>26.14490127232227</v>
      </c>
      <c r="G18" s="8"/>
    </row>
    <row r="19" spans="1:8" ht="18.75">
      <c r="A19" s="11">
        <v>6</v>
      </c>
      <c r="B19" s="44" t="s">
        <v>60</v>
      </c>
      <c r="C19" s="49">
        <f>178000</f>
        <v>178000</v>
      </c>
      <c r="D19" s="49">
        <f>157054</f>
        <v>157054</v>
      </c>
      <c r="E19" s="43">
        <f t="shared" si="0"/>
        <v>88.23258426966292</v>
      </c>
      <c r="F19" s="43">
        <f>D19/'[3]BS94'!D19*100</f>
        <v>93.46588459802567</v>
      </c>
      <c r="G19" s="8"/>
      <c r="H19" s="108"/>
    </row>
    <row r="20" spans="1:7" ht="12.75">
      <c r="A20" s="11">
        <v>7</v>
      </c>
      <c r="B20" s="44" t="s">
        <v>61</v>
      </c>
      <c r="C20" s="49">
        <f>55582+16418</f>
        <v>72000</v>
      </c>
      <c r="D20" s="49">
        <f>55559</f>
        <v>55559</v>
      </c>
      <c r="E20" s="43">
        <f t="shared" si="0"/>
        <v>77.16527777777777</v>
      </c>
      <c r="F20" s="43">
        <f>D20/'[3]BS94'!D20*100</f>
        <v>84.03012972982178</v>
      </c>
      <c r="G20" s="8"/>
    </row>
    <row r="21" spans="1:7" ht="12.75">
      <c r="A21" s="11">
        <v>8</v>
      </c>
      <c r="B21" s="44" t="s">
        <v>11</v>
      </c>
      <c r="C21" s="49">
        <f>SUM(C22:C26)</f>
        <v>268000</v>
      </c>
      <c r="D21" s="49">
        <f>SUM(D22:D26)</f>
        <v>283767</v>
      </c>
      <c r="E21" s="43">
        <f t="shared" si="0"/>
        <v>105.88320895522388</v>
      </c>
      <c r="F21" s="43">
        <f>D21/'[3]BS94'!D21*100</f>
        <v>100.97502977864355</v>
      </c>
      <c r="G21" s="8"/>
    </row>
    <row r="22" spans="1:7" ht="12.75" hidden="1">
      <c r="A22" s="11"/>
      <c r="B22" s="45" t="s">
        <v>10</v>
      </c>
      <c r="C22" s="50"/>
      <c r="D22" s="50"/>
      <c r="E22" s="57"/>
      <c r="F22" s="40" t="e">
        <f>D22/'[3]BS94'!D22*100</f>
        <v>#DIV/0!</v>
      </c>
      <c r="G22" s="8"/>
    </row>
    <row r="23" spans="1:7" ht="12.75">
      <c r="A23" s="11"/>
      <c r="B23" s="45" t="s">
        <v>21</v>
      </c>
      <c r="C23" s="50">
        <f>8000</f>
        <v>8000</v>
      </c>
      <c r="D23" s="50">
        <f>9538</f>
        <v>9538</v>
      </c>
      <c r="E23" s="57">
        <f>D23/C23*100</f>
        <v>119.22500000000001</v>
      </c>
      <c r="F23" s="57">
        <f>D23/'[3]BS94'!D23*100</f>
        <v>65.19300046717777</v>
      </c>
      <c r="G23" s="8"/>
    </row>
    <row r="24" spans="1:7" ht="12.75">
      <c r="A24" s="11"/>
      <c r="B24" s="46" t="s">
        <v>40</v>
      </c>
      <c r="C24" s="50">
        <f>200000</f>
        <v>200000</v>
      </c>
      <c r="D24" s="50">
        <f>72359</f>
        <v>72359</v>
      </c>
      <c r="E24" s="57">
        <f>D24/C24*100</f>
        <v>36.1795</v>
      </c>
      <c r="F24" s="57">
        <f>D24/'[3]BS94'!D24*100</f>
        <v>45.208235942320066</v>
      </c>
      <c r="G24" s="8"/>
    </row>
    <row r="25" spans="1:7" ht="12.75">
      <c r="A25" s="11"/>
      <c r="B25" s="46" t="s">
        <v>62</v>
      </c>
      <c r="C25" s="50">
        <f>60000</f>
        <v>60000</v>
      </c>
      <c r="D25" s="50">
        <f>201870</f>
        <v>201870</v>
      </c>
      <c r="E25" s="57">
        <f>D25/C25*100</f>
        <v>336.45</v>
      </c>
      <c r="F25" s="57">
        <f>D25/'[3]BS94'!D25*100</f>
        <v>189.83559994425394</v>
      </c>
      <c r="G25" s="8"/>
    </row>
    <row r="26" spans="1:7" ht="12.75" hidden="1">
      <c r="A26" s="11"/>
      <c r="B26" s="46" t="s">
        <v>63</v>
      </c>
      <c r="C26" s="50"/>
      <c r="D26" s="50"/>
      <c r="E26" s="43"/>
      <c r="F26" s="40" t="e">
        <f>D26/'[3]BS94'!D26*100</f>
        <v>#DIV/0!</v>
      </c>
      <c r="G26" s="8"/>
    </row>
    <row r="27" spans="1:7" ht="12.75">
      <c r="A27" s="11">
        <v>9</v>
      </c>
      <c r="B27" s="44" t="s">
        <v>19</v>
      </c>
      <c r="C27" s="49"/>
      <c r="D27" s="49"/>
      <c r="E27" s="43"/>
      <c r="F27" s="40"/>
      <c r="G27" s="8"/>
    </row>
    <row r="28" spans="1:7" ht="12.75">
      <c r="A28" s="11">
        <v>10</v>
      </c>
      <c r="B28" s="44" t="s">
        <v>12</v>
      </c>
      <c r="C28" s="49">
        <f>60000</f>
        <v>60000</v>
      </c>
      <c r="D28" s="49">
        <f>51227+1040+514</f>
        <v>52781</v>
      </c>
      <c r="E28" s="43">
        <f>D28/C28*100</f>
        <v>87.96833333333333</v>
      </c>
      <c r="F28" s="43">
        <f>D28/'[3]BS94'!D28*100</f>
        <v>77.67287527248453</v>
      </c>
      <c r="G28" s="8"/>
    </row>
    <row r="29" spans="1:7" ht="12.75">
      <c r="A29" s="11">
        <v>11</v>
      </c>
      <c r="B29" s="44" t="s">
        <v>41</v>
      </c>
      <c r="C29" s="49"/>
      <c r="D29" s="49"/>
      <c r="E29" s="43"/>
      <c r="F29" s="40"/>
      <c r="G29" s="8"/>
    </row>
    <row r="30" spans="1:7" ht="12.75">
      <c r="A30" s="10" t="s">
        <v>2</v>
      </c>
      <c r="B30" s="31" t="s">
        <v>42</v>
      </c>
      <c r="C30" s="51"/>
      <c r="D30" s="51"/>
      <c r="E30" s="39"/>
      <c r="F30" s="40"/>
      <c r="G30" s="8"/>
    </row>
    <row r="31" spans="1:7" ht="12.75">
      <c r="A31" s="10" t="s">
        <v>8</v>
      </c>
      <c r="B31" s="31" t="s">
        <v>43</v>
      </c>
      <c r="C31" s="27">
        <f>SUM(C32:C33)</f>
        <v>183412</v>
      </c>
      <c r="D31" s="27">
        <f>SUM(D32:D33)</f>
        <v>168039</v>
      </c>
      <c r="E31" s="39">
        <f>D31/C31*100</f>
        <v>91.61832377379888</v>
      </c>
      <c r="F31" s="40">
        <f>D31/'[2]BS94'!D31*100</f>
        <v>114.07168556106171</v>
      </c>
      <c r="G31" s="8"/>
    </row>
    <row r="32" spans="1:7" ht="12.75">
      <c r="A32" s="11">
        <v>1</v>
      </c>
      <c r="B32" s="44" t="s">
        <v>44</v>
      </c>
      <c r="C32" s="12">
        <f>80820+40122</f>
        <v>120942</v>
      </c>
      <c r="D32" s="12">
        <f>407+64159+28209</f>
        <v>92775</v>
      </c>
      <c r="E32" s="41">
        <f>D32/C32*100</f>
        <v>76.71032395693803</v>
      </c>
      <c r="F32" s="43">
        <f>D32/'[3]BS94'!D32*100</f>
        <v>82.15501166278588</v>
      </c>
      <c r="G32" s="5"/>
    </row>
    <row r="33" spans="1:7" ht="12.75">
      <c r="A33" s="14">
        <v>2</v>
      </c>
      <c r="B33" s="47" t="s">
        <v>45</v>
      </c>
      <c r="C33" s="6">
        <f>550+21360+8000+6837+16418+9305</f>
        <v>62470</v>
      </c>
      <c r="D33" s="107">
        <f>8+34648+13693+6360+6048+3928+1040+9539</f>
        <v>75264</v>
      </c>
      <c r="E33" s="48">
        <f>D33/C33*100</f>
        <v>120.48023051064511</v>
      </c>
      <c r="F33" s="48">
        <f>D33/'[3]BS94'!D33*100</f>
        <v>85.01665688940471</v>
      </c>
      <c r="G33" s="5"/>
    </row>
    <row r="34" spans="1:6" s="53" customFormat="1" ht="12" customHeight="1" hidden="1">
      <c r="A34" s="52"/>
      <c r="B34" s="52"/>
      <c r="C34" s="52"/>
      <c r="D34" s="52"/>
      <c r="E34" s="52"/>
      <c r="F34" s="52"/>
    </row>
    <row r="35" spans="2:6" ht="12.75">
      <c r="B35" s="7"/>
      <c r="C35" s="7"/>
      <c r="D35" s="7"/>
      <c r="E35" s="7"/>
      <c r="F35" s="7"/>
    </row>
    <row r="36" ht="12.75">
      <c r="D36" s="82"/>
    </row>
    <row r="37" ht="12.75">
      <c r="D37" s="8"/>
    </row>
  </sheetData>
  <sheetProtection/>
  <mergeCells count="2">
    <mergeCell ref="A5:F5"/>
    <mergeCell ref="A6:F6"/>
  </mergeCells>
  <printOptions/>
  <pageMargins left="1" right="0.4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36"/>
  <sheetViews>
    <sheetView showGridLines="0" showZeros="0" zoomScale="120" zoomScaleNormal="120" zoomScalePageLayoutView="0" workbookViewId="0" topLeftCell="A22">
      <selection activeCell="I15" sqref="I15"/>
    </sheetView>
  </sheetViews>
  <sheetFormatPr defaultColWidth="9.140625" defaultRowHeight="12.75"/>
  <cols>
    <col min="1" max="1" width="5.421875" style="1" customWidth="1"/>
    <col min="2" max="2" width="44.28125" style="1" customWidth="1"/>
    <col min="3" max="6" width="9.421875" style="1" customWidth="1"/>
    <col min="7" max="7" width="10.140625" style="1" hidden="1" customWidth="1"/>
    <col min="8" max="8" width="9.421875" style="1" hidden="1" customWidth="1"/>
    <col min="9" max="9" width="10.421875" style="1" bestFit="1" customWidth="1"/>
    <col min="10" max="16384" width="9.140625" style="1" customWidth="1"/>
  </cols>
  <sheetData>
    <row r="1" spans="1:6" ht="12.75">
      <c r="A1" s="1" t="s">
        <v>75</v>
      </c>
      <c r="F1" s="2" t="s">
        <v>64</v>
      </c>
    </row>
    <row r="2" ht="12.75">
      <c r="A2" s="9" t="s">
        <v>76</v>
      </c>
    </row>
    <row r="3" ht="12.75">
      <c r="A3" s="9" t="s">
        <v>77</v>
      </c>
    </row>
    <row r="5" spans="1:6" s="3" customFormat="1" ht="16.5">
      <c r="A5" s="110" t="s">
        <v>81</v>
      </c>
      <c r="B5" s="110"/>
      <c r="C5" s="110"/>
      <c r="D5" s="110"/>
      <c r="E5" s="110"/>
      <c r="F5" s="110"/>
    </row>
    <row r="6" spans="1:6" s="4" customFormat="1" ht="12.75" hidden="1">
      <c r="A6" s="111" t="s">
        <v>55</v>
      </c>
      <c r="B6" s="111"/>
      <c r="C6" s="111"/>
      <c r="D6" s="111"/>
      <c r="E6" s="111"/>
      <c r="F6" s="111"/>
    </row>
    <row r="7" ht="12.75">
      <c r="F7" s="73" t="s">
        <v>27</v>
      </c>
    </row>
    <row r="8" spans="1:6" ht="12.75">
      <c r="A8" s="20" t="s">
        <v>0</v>
      </c>
      <c r="B8" s="20" t="s">
        <v>34</v>
      </c>
      <c r="C8" s="35" t="s">
        <v>18</v>
      </c>
      <c r="D8" s="35" t="s">
        <v>30</v>
      </c>
      <c r="E8" s="17" t="s">
        <v>36</v>
      </c>
      <c r="F8" s="17"/>
    </row>
    <row r="9" spans="1:6" ht="12.75">
      <c r="A9" s="21"/>
      <c r="B9" s="22"/>
      <c r="C9" s="34" t="s">
        <v>31</v>
      </c>
      <c r="D9" s="34" t="s">
        <v>82</v>
      </c>
      <c r="E9" s="34" t="s">
        <v>18</v>
      </c>
      <c r="F9" s="34" t="s">
        <v>32</v>
      </c>
    </row>
    <row r="10" spans="1:6" ht="12.75">
      <c r="A10" s="23"/>
      <c r="B10" s="24"/>
      <c r="C10" s="37"/>
      <c r="D10" s="37"/>
      <c r="E10" s="37" t="s">
        <v>31</v>
      </c>
      <c r="F10" s="37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9" ht="12.75">
      <c r="A12" s="64"/>
      <c r="B12" s="91" t="s">
        <v>13</v>
      </c>
      <c r="C12" s="92">
        <f>SUM(C13,C30)</f>
        <v>1158780</v>
      </c>
      <c r="D12" s="92">
        <f>SUM(D13,D30)</f>
        <v>1487348</v>
      </c>
      <c r="E12" s="93">
        <f>D12/C12*100</f>
        <v>128.3546488548301</v>
      </c>
      <c r="F12" s="106">
        <f>D12/'[3]BS95'!D12*100</f>
        <v>147.55670724932142</v>
      </c>
      <c r="I12" s="90"/>
    </row>
    <row r="13" spans="1:6" ht="12.75">
      <c r="A13" s="94" t="s">
        <v>7</v>
      </c>
      <c r="B13" s="98" t="s">
        <v>46</v>
      </c>
      <c r="C13" s="27">
        <f>SUM(C14,C17,C29)</f>
        <v>1158780</v>
      </c>
      <c r="D13" s="27">
        <f>SUM(D14,D17,D29)</f>
        <v>1487348</v>
      </c>
      <c r="E13" s="40">
        <f aca="true" t="shared" si="0" ref="E13:E29">D13/C13*100</f>
        <v>128.3546488548301</v>
      </c>
      <c r="F13" s="40">
        <f>D13/'[3]BS95'!D13*100</f>
        <v>147.55670724932142</v>
      </c>
    </row>
    <row r="14" spans="1:9" ht="12.75">
      <c r="A14" s="94" t="s">
        <v>1</v>
      </c>
      <c r="B14" s="98" t="s">
        <v>4</v>
      </c>
      <c r="C14" s="51">
        <f>SUM(C15:C16)</f>
        <v>0</v>
      </c>
      <c r="D14" s="51">
        <f>SUM(D15:D16)</f>
        <v>22276</v>
      </c>
      <c r="E14" s="40"/>
      <c r="F14" s="40">
        <f>D14/'[3]BS95'!D14*100</f>
        <v>30.40054588877516</v>
      </c>
      <c r="G14" s="59"/>
      <c r="I14" s="59">
        <f>100-F14</f>
        <v>69.59945411122484</v>
      </c>
    </row>
    <row r="15" spans="1:9" ht="12.75">
      <c r="A15" s="95">
        <v>1</v>
      </c>
      <c r="B15" s="99" t="s">
        <v>47</v>
      </c>
      <c r="C15" s="80">
        <f>'BS93'!C19</f>
        <v>0</v>
      </c>
      <c r="D15" s="80">
        <f>22276-3000</f>
        <v>19276</v>
      </c>
      <c r="E15" s="43"/>
      <c r="F15" s="43">
        <f>D15/'[3]BS95'!D15*100</f>
        <v>27.429384560654572</v>
      </c>
      <c r="G15" s="8"/>
      <c r="I15" s="59"/>
    </row>
    <row r="16" spans="1:7" ht="12.75">
      <c r="A16" s="95">
        <v>2</v>
      </c>
      <c r="B16" s="99" t="s">
        <v>48</v>
      </c>
      <c r="C16" s="49"/>
      <c r="D16" s="49">
        <v>3000</v>
      </c>
      <c r="E16" s="40"/>
      <c r="F16" s="43">
        <f>D16/'[3]BS95'!D16*100</f>
        <v>100</v>
      </c>
      <c r="G16" s="8"/>
    </row>
    <row r="17" spans="1:9" ht="12.75">
      <c r="A17" s="94" t="s">
        <v>2</v>
      </c>
      <c r="B17" s="98" t="s">
        <v>5</v>
      </c>
      <c r="C17" s="51">
        <f>SUM(C19:C28)+57713+9610</f>
        <v>1135150</v>
      </c>
      <c r="D17" s="51">
        <f>SUM(D19:D28)+2706+32290+22385+3</f>
        <v>1465072</v>
      </c>
      <c r="E17" s="40">
        <f t="shared" si="0"/>
        <v>129.0641765405453</v>
      </c>
      <c r="F17" s="40">
        <f>D17/'[3]BS95'!D17*100</f>
        <v>163.1121833802977</v>
      </c>
      <c r="G17" s="8">
        <f>811300-23630</f>
        <v>787670</v>
      </c>
      <c r="H17" s="82">
        <f>811300-23630-1777</f>
        <v>785893</v>
      </c>
      <c r="I17" s="104"/>
    </row>
    <row r="18" spans="1:8" s="56" customFormat="1" ht="12.75">
      <c r="A18" s="96"/>
      <c r="B18" s="100" t="s">
        <v>49</v>
      </c>
      <c r="C18" s="54"/>
      <c r="D18" s="54"/>
      <c r="E18" s="43"/>
      <c r="F18" s="43"/>
      <c r="G18" s="55">
        <f>811300-23630</f>
        <v>787670</v>
      </c>
      <c r="H18" s="83">
        <f>C17-H17</f>
        <v>349257</v>
      </c>
    </row>
    <row r="19" spans="1:7" ht="12.75">
      <c r="A19" s="97">
        <v>1</v>
      </c>
      <c r="B19" s="101" t="s">
        <v>15</v>
      </c>
      <c r="C19" s="49">
        <f>548067</f>
        <v>548067</v>
      </c>
      <c r="D19" s="74">
        <f>365395</f>
        <v>365395</v>
      </c>
      <c r="E19" s="75">
        <f t="shared" si="0"/>
        <v>66.66976847721173</v>
      </c>
      <c r="F19" s="43">
        <f>D19/'[3]BS95'!D19*100</f>
        <v>104.85453888050323</v>
      </c>
      <c r="G19" s="8">
        <f>G17-C17</f>
        <v>-347480</v>
      </c>
    </row>
    <row r="20" spans="1:7" ht="12.75">
      <c r="A20" s="97">
        <v>2</v>
      </c>
      <c r="B20" s="102" t="s">
        <v>16</v>
      </c>
      <c r="C20" s="49"/>
      <c r="D20" s="74"/>
      <c r="E20" s="75"/>
      <c r="F20" s="43"/>
      <c r="G20" s="8">
        <f>G19-144203</f>
        <v>-491683</v>
      </c>
    </row>
    <row r="21" spans="1:7" ht="12.75">
      <c r="A21" s="97">
        <v>3</v>
      </c>
      <c r="B21" s="101" t="s">
        <v>50</v>
      </c>
      <c r="C21" s="80">
        <f>50940</f>
        <v>50940</v>
      </c>
      <c r="D21" s="74">
        <v>97049</v>
      </c>
      <c r="E21" s="75">
        <f t="shared" si="0"/>
        <v>190.51629367883785</v>
      </c>
      <c r="F21" s="43">
        <f>D21/'[3]BS95'!D21*100</f>
        <v>165.83619555373286</v>
      </c>
      <c r="G21" s="8"/>
    </row>
    <row r="22" spans="1:7" ht="12.75">
      <c r="A22" s="97">
        <v>4</v>
      </c>
      <c r="B22" s="102" t="s">
        <v>51</v>
      </c>
      <c r="C22" s="49">
        <v>5054</v>
      </c>
      <c r="D22" s="74">
        <f>5849</f>
        <v>5849</v>
      </c>
      <c r="E22" s="75">
        <f t="shared" si="0"/>
        <v>115.73011476058568</v>
      </c>
      <c r="F22" s="43">
        <f>D22/'[3]BS95'!D22*100</f>
        <v>55.53023829868033</v>
      </c>
      <c r="G22" s="8"/>
    </row>
    <row r="23" spans="1:7" ht="12.75">
      <c r="A23" s="97">
        <v>5</v>
      </c>
      <c r="B23" s="101" t="s">
        <v>52</v>
      </c>
      <c r="C23" s="49"/>
      <c r="D23" s="74"/>
      <c r="E23" s="75"/>
      <c r="F23" s="43"/>
      <c r="G23" s="8"/>
    </row>
    <row r="24" spans="1:7" ht="12.75">
      <c r="A24" s="97">
        <v>6</v>
      </c>
      <c r="B24" s="101" t="s">
        <v>53</v>
      </c>
      <c r="C24" s="49">
        <v>2340</v>
      </c>
      <c r="D24" s="74">
        <f>1632</f>
        <v>1632</v>
      </c>
      <c r="E24" s="75">
        <f t="shared" si="0"/>
        <v>69.74358974358974</v>
      </c>
      <c r="F24" s="43">
        <f>D24/'[3]BS95'!D24*100</f>
        <v>122.43060765191298</v>
      </c>
      <c r="G24" s="8"/>
    </row>
    <row r="25" spans="1:7" ht="12.75">
      <c r="A25" s="97">
        <v>7</v>
      </c>
      <c r="B25" s="101" t="s">
        <v>23</v>
      </c>
      <c r="C25" s="49">
        <v>67653</v>
      </c>
      <c r="D25" s="74">
        <f>35114</f>
        <v>35114</v>
      </c>
      <c r="E25" s="75">
        <f t="shared" si="0"/>
        <v>51.90309372828995</v>
      </c>
      <c r="F25" s="43">
        <f>D25/'[3]BS95'!D25*100</f>
        <v>56.3383445376803</v>
      </c>
      <c r="G25" s="8"/>
    </row>
    <row r="26" spans="1:7" ht="12.75">
      <c r="A26" s="97">
        <v>8</v>
      </c>
      <c r="B26" s="101" t="s">
        <v>17</v>
      </c>
      <c r="C26" s="49">
        <f>72677+6970+421+4449</f>
        <v>84517</v>
      </c>
      <c r="D26" s="74">
        <f>54652</f>
        <v>54652</v>
      </c>
      <c r="E26" s="75">
        <f t="shared" si="0"/>
        <v>64.66391376882757</v>
      </c>
      <c r="F26" s="43">
        <f>D26/'[3]BS95'!D26*100</f>
        <v>119.46053465649523</v>
      </c>
      <c r="G26" s="8"/>
    </row>
    <row r="27" spans="1:9" ht="25.5">
      <c r="A27" s="97">
        <v>9</v>
      </c>
      <c r="B27" s="103" t="s">
        <v>66</v>
      </c>
      <c r="C27" s="74">
        <v>210627</v>
      </c>
      <c r="D27" s="74">
        <f>187983</f>
        <v>187983</v>
      </c>
      <c r="E27" s="75">
        <f>D27/C27*100</f>
        <v>89.2492415502286</v>
      </c>
      <c r="F27" s="43">
        <f>D27/'[3]BS95'!D27*100</f>
        <v>104.64720126924041</v>
      </c>
      <c r="G27" s="8"/>
      <c r="I27" s="8"/>
    </row>
    <row r="28" spans="1:7" ht="12.75">
      <c r="A28" s="97">
        <v>10</v>
      </c>
      <c r="B28" s="101" t="s">
        <v>54</v>
      </c>
      <c r="C28" s="74">
        <f>98629</f>
        <v>98629</v>
      </c>
      <c r="D28" s="74">
        <f>660014</f>
        <v>660014</v>
      </c>
      <c r="E28" s="75">
        <f t="shared" si="0"/>
        <v>669.1885753682993</v>
      </c>
      <c r="F28" s="43">
        <f>D28/'[3]BS95'!D28*100</f>
        <v>486.0620967979497</v>
      </c>
      <c r="G28" s="8"/>
    </row>
    <row r="29" spans="1:7" ht="12.75">
      <c r="A29" s="10" t="s">
        <v>3</v>
      </c>
      <c r="B29" s="30" t="s">
        <v>67</v>
      </c>
      <c r="C29" s="51">
        <v>23630</v>
      </c>
      <c r="D29" s="51"/>
      <c r="E29" s="40">
        <f t="shared" si="0"/>
        <v>0</v>
      </c>
      <c r="F29" s="40"/>
      <c r="G29" s="8"/>
    </row>
    <row r="30" spans="1:6" ht="25.5">
      <c r="A30" s="86" t="s">
        <v>8</v>
      </c>
      <c r="B30" s="87" t="s">
        <v>68</v>
      </c>
      <c r="C30" s="88">
        <f>SUM(C31:C32)</f>
        <v>0</v>
      </c>
      <c r="D30" s="88">
        <f>SUM(D31:D32)</f>
        <v>0</v>
      </c>
      <c r="E30" s="89"/>
      <c r="F30" s="89">
        <f>D30/496*100</f>
        <v>0</v>
      </c>
    </row>
    <row r="31" spans="1:7" ht="12.75">
      <c r="A31" s="76">
        <v>1</v>
      </c>
      <c r="B31" s="77" t="s">
        <v>69</v>
      </c>
      <c r="C31" s="12"/>
      <c r="D31" s="74"/>
      <c r="E31" s="75"/>
      <c r="F31" s="75"/>
      <c r="G31" s="8"/>
    </row>
    <row r="32" spans="1:7" ht="12.75">
      <c r="A32" s="76">
        <v>2</v>
      </c>
      <c r="B32" s="77" t="s">
        <v>70</v>
      </c>
      <c r="C32" s="78">
        <f>SUM(C33)</f>
        <v>0</v>
      </c>
      <c r="D32" s="78">
        <f>SUM(D33)</f>
        <v>0</v>
      </c>
      <c r="E32" s="89"/>
      <c r="F32" s="89">
        <f>D32/385*100</f>
        <v>0</v>
      </c>
      <c r="G32" s="8"/>
    </row>
    <row r="33" spans="1:7" ht="12.75">
      <c r="A33" s="76">
        <v>3</v>
      </c>
      <c r="B33" s="77" t="s">
        <v>71</v>
      </c>
      <c r="C33" s="79"/>
      <c r="D33" s="79"/>
      <c r="E33" s="75"/>
      <c r="F33" s="75">
        <f>D33/385*100</f>
        <v>0</v>
      </c>
      <c r="G33" s="8"/>
    </row>
    <row r="34" spans="1:7" ht="12.75">
      <c r="A34" s="19"/>
      <c r="B34" s="33"/>
      <c r="C34" s="29"/>
      <c r="D34" s="29"/>
      <c r="E34" s="42"/>
      <c r="F34" s="48">
        <f>D34/385*100</f>
        <v>0</v>
      </c>
      <c r="G34" s="5"/>
    </row>
    <row r="35" spans="1:6" s="53" customFormat="1" ht="12" customHeight="1">
      <c r="A35" s="52"/>
      <c r="B35" s="52"/>
      <c r="C35" s="52"/>
      <c r="D35" s="52"/>
      <c r="E35" s="52"/>
      <c r="F35" s="52"/>
    </row>
    <row r="36" spans="2:6" ht="12.75">
      <c r="B36" s="7"/>
      <c r="C36" s="7"/>
      <c r="D36" s="7"/>
      <c r="E36" s="7"/>
      <c r="F36" s="7"/>
    </row>
  </sheetData>
  <sheetProtection/>
  <mergeCells count="2">
    <mergeCell ref="A5:F5"/>
    <mergeCell ref="A6:F6"/>
  </mergeCells>
  <printOptions/>
  <pageMargins left="1" right="0.5" top="0.85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2022-01-14T04:18:49Z</cp:lastPrinted>
  <dcterms:created xsi:type="dcterms:W3CDTF">2001-08-16T01:23:45Z</dcterms:created>
  <dcterms:modified xsi:type="dcterms:W3CDTF">2022-01-14T04:26:42Z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2022-01-20T00:00:00Z</vt:lpwstr>
  </property>
  <property fmtid="{D5CDD505-2E9C-101B-9397-08002B2CF9AE}" pid="4" name="ContentTy">
    <vt:lpwstr>Hình ảnh</vt:lpwstr>
  </property>
  <property fmtid="{D5CDD505-2E9C-101B-9397-08002B2CF9AE}" pid="5" name="Ngày g">
    <vt:lpwstr>2022-01-20T10:01:00Z</vt:lpwstr>
  </property>
</Properties>
</file>